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Cl Experiments\"/>
    </mc:Choice>
  </mc:AlternateContent>
  <xr:revisionPtr revIDLastSave="0" documentId="13_ncr:1_{E62381C9-9B25-4797-9C1D-18F8173274FC}" xr6:coauthVersionLast="47" xr6:coauthVersionMax="47" xr10:uidLastSave="{00000000-0000-0000-0000-000000000000}"/>
  <bookViews>
    <workbookView xWindow="-120" yWindow="-120" windowWidth="19440" windowHeight="14880" tabRatio="777" activeTab="3" xr2:uid="{00000000-000D-0000-FFFF-FFFF00000000}"/>
  </bookViews>
  <sheets>
    <sheet name="Samples Log" sheetId="6" r:id="rId1"/>
    <sheet name="Raw ICP-OES Data" sheetId="3" r:id="rId2"/>
    <sheet name="ICP-OES Total Metals" sheetId="7" r:id="rId3"/>
    <sheet name="ICP-OES TM Averages" sheetId="2" r:id="rId4"/>
    <sheet name="RAW ICP-MS Data" sheetId="9" r:id="rId5"/>
    <sheet name="ICP-MS Total Metals" sheetId="10" r:id="rId6"/>
    <sheet name="ICP-MS Averages" sheetId="11" r:id="rId7"/>
    <sheet name="Case Narrative" sheetId="4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7" l="1"/>
  <c r="D24" i="7"/>
  <c r="AN34" i="11"/>
  <c r="AH35" i="11"/>
  <c r="AI35" i="11"/>
  <c r="AJ35" i="11"/>
  <c r="AK35" i="11"/>
  <c r="AL35" i="11"/>
  <c r="AL36" i="11"/>
  <c r="AM36" i="11"/>
  <c r="AN36" i="11"/>
  <c r="AH37" i="11"/>
  <c r="AI37" i="11"/>
  <c r="AJ37" i="11"/>
  <c r="AJ38" i="11"/>
  <c r="AK38" i="11"/>
  <c r="AL38" i="11"/>
  <c r="AM38" i="11"/>
  <c r="AN38" i="11"/>
  <c r="AH39" i="11"/>
  <c r="AH24" i="11"/>
  <c r="AH34" i="11" s="1"/>
  <c r="AI24" i="11"/>
  <c r="AI34" i="11" s="1"/>
  <c r="AJ24" i="11"/>
  <c r="AJ34" i="11" s="1"/>
  <c r="AK24" i="11"/>
  <c r="AK34" i="11" s="1"/>
  <c r="AL24" i="11"/>
  <c r="AL34" i="11" s="1"/>
  <c r="AM24" i="11"/>
  <c r="AM34" i="11" s="1"/>
  <c r="AN24" i="11"/>
  <c r="AH25" i="11"/>
  <c r="AI25" i="11"/>
  <c r="AJ25" i="11"/>
  <c r="AK25" i="11"/>
  <c r="AL25" i="11"/>
  <c r="AM25" i="11"/>
  <c r="AM35" i="11" s="1"/>
  <c r="AN25" i="11"/>
  <c r="AN35" i="11" s="1"/>
  <c r="AH26" i="11"/>
  <c r="AH36" i="11" s="1"/>
  <c r="AI26" i="11"/>
  <c r="AI36" i="11" s="1"/>
  <c r="AJ26" i="11"/>
  <c r="AJ36" i="11" s="1"/>
  <c r="AK26" i="11"/>
  <c r="AK36" i="11" s="1"/>
  <c r="AL26" i="11"/>
  <c r="AM26" i="11"/>
  <c r="AN26" i="11"/>
  <c r="AH27" i="11"/>
  <c r="AI27" i="11"/>
  <c r="AJ27" i="11"/>
  <c r="AK27" i="11"/>
  <c r="AK37" i="11" s="1"/>
  <c r="AL27" i="11"/>
  <c r="AL37" i="11" s="1"/>
  <c r="AM27" i="11"/>
  <c r="AM37" i="11" s="1"/>
  <c r="AN27" i="11"/>
  <c r="AN37" i="11" s="1"/>
  <c r="AH28" i="11"/>
  <c r="AH38" i="11" s="1"/>
  <c r="AI28" i="11"/>
  <c r="AI38" i="11" s="1"/>
  <c r="AJ28" i="11"/>
  <c r="AK28" i="11"/>
  <c r="AL28" i="11"/>
  <c r="AM28" i="11"/>
  <c r="AN28" i="11"/>
  <c r="AH29" i="11"/>
  <c r="AI29" i="11"/>
  <c r="AI39" i="11" s="1"/>
  <c r="AJ29" i="11"/>
  <c r="AJ39" i="11" s="1"/>
  <c r="AK29" i="11"/>
  <c r="AK39" i="11" s="1"/>
  <c r="AL29" i="11"/>
  <c r="AL39" i="11" s="1"/>
  <c r="AM29" i="11"/>
  <c r="AM39" i="11" s="1"/>
  <c r="AN29" i="11"/>
  <c r="AN39" i="11" s="1"/>
  <c r="AH20" i="11"/>
  <c r="AI20" i="11"/>
  <c r="AJ20" i="11"/>
  <c r="AK20" i="11"/>
  <c r="AL20" i="11"/>
  <c r="AM20" i="11"/>
  <c r="AN20" i="11"/>
  <c r="AH21" i="11"/>
  <c r="AI21" i="11"/>
  <c r="AJ21" i="11"/>
  <c r="AK21" i="11"/>
  <c r="AL21" i="11"/>
  <c r="AM21" i="11"/>
  <c r="AN21" i="11"/>
  <c r="AH47" i="10"/>
  <c r="AI47" i="10"/>
  <c r="AJ47" i="10"/>
  <c r="AK47" i="10"/>
  <c r="AL47" i="10"/>
  <c r="AM47" i="10"/>
  <c r="AN47" i="10"/>
  <c r="AH48" i="10"/>
  <c r="AI48" i="10"/>
  <c r="AJ48" i="10"/>
  <c r="AK48" i="10"/>
  <c r="AL48" i="10"/>
  <c r="AM48" i="10"/>
  <c r="AN48" i="10"/>
  <c r="AH49" i="10"/>
  <c r="AI49" i="10"/>
  <c r="AJ49" i="10"/>
  <c r="AK49" i="10"/>
  <c r="AL49" i="10"/>
  <c r="AM49" i="10"/>
  <c r="AN49" i="10"/>
  <c r="AH50" i="10"/>
  <c r="AI50" i="10"/>
  <c r="AJ50" i="10"/>
  <c r="AK50" i="10"/>
  <c r="AL50" i="10"/>
  <c r="AM50" i="10"/>
  <c r="AN50" i="10"/>
  <c r="AH51" i="10"/>
  <c r="AI51" i="10"/>
  <c r="AJ51" i="10"/>
  <c r="AK51" i="10"/>
  <c r="AL51" i="10"/>
  <c r="AM51" i="10"/>
  <c r="AN51" i="10"/>
  <c r="AH52" i="10"/>
  <c r="AI52" i="10"/>
  <c r="AJ52" i="10"/>
  <c r="AK52" i="10"/>
  <c r="AL52" i="10"/>
  <c r="AM52" i="10"/>
  <c r="AN52" i="10"/>
  <c r="AH53" i="10"/>
  <c r="AI53" i="10"/>
  <c r="AJ53" i="10"/>
  <c r="AK53" i="10"/>
  <c r="AL53" i="10"/>
  <c r="AM53" i="10"/>
  <c r="AN53" i="10"/>
  <c r="AH54" i="10"/>
  <c r="AI54" i="10"/>
  <c r="AJ54" i="10"/>
  <c r="AK54" i="10"/>
  <c r="AL54" i="10"/>
  <c r="AM54" i="10"/>
  <c r="AN54" i="10"/>
  <c r="AH55" i="10"/>
  <c r="AI55" i="10"/>
  <c r="AJ55" i="10"/>
  <c r="AK55" i="10"/>
  <c r="AL55" i="10"/>
  <c r="AM55" i="10"/>
  <c r="AN55" i="10"/>
  <c r="AH56" i="10"/>
  <c r="AI56" i="10"/>
  <c r="AJ56" i="10"/>
  <c r="AK56" i="10"/>
  <c r="AL56" i="10"/>
  <c r="AM56" i="10"/>
  <c r="AN56" i="10"/>
  <c r="AH57" i="10"/>
  <c r="AI57" i="10"/>
  <c r="AJ57" i="10"/>
  <c r="AK57" i="10"/>
  <c r="AL57" i="10"/>
  <c r="AM57" i="10"/>
  <c r="AN57" i="10"/>
  <c r="AH58" i="10"/>
  <c r="AI58" i="10"/>
  <c r="AJ58" i="10"/>
  <c r="AK58" i="10"/>
  <c r="AL58" i="10"/>
  <c r="AM58" i="10"/>
  <c r="AN58" i="10"/>
  <c r="AH59" i="10"/>
  <c r="AI59" i="10"/>
  <c r="AJ59" i="10"/>
  <c r="AK59" i="10"/>
  <c r="AL59" i="10"/>
  <c r="AM59" i="10"/>
  <c r="AN59" i="10"/>
  <c r="AH60" i="10"/>
  <c r="AI60" i="10"/>
  <c r="AJ60" i="10"/>
  <c r="AK60" i="10"/>
  <c r="AL60" i="10"/>
  <c r="AM60" i="10"/>
  <c r="AN60" i="10"/>
  <c r="AH61" i="10"/>
  <c r="AI61" i="10"/>
  <c r="AJ61" i="10"/>
  <c r="AK61" i="10"/>
  <c r="AL61" i="10"/>
  <c r="AM61" i="10"/>
  <c r="AN61" i="10"/>
  <c r="AH62" i="10"/>
  <c r="AI62" i="10"/>
  <c r="AJ62" i="10"/>
  <c r="AK62" i="10"/>
  <c r="AL62" i="10"/>
  <c r="AM62" i="10"/>
  <c r="AN62" i="10"/>
  <c r="AH63" i="10"/>
  <c r="AI63" i="10"/>
  <c r="AJ63" i="10"/>
  <c r="AK63" i="10"/>
  <c r="AL63" i="10"/>
  <c r="AM63" i="10"/>
  <c r="AN63" i="10"/>
  <c r="AH64" i="10"/>
  <c r="AI64" i="10"/>
  <c r="AJ64" i="10"/>
  <c r="AK64" i="10"/>
  <c r="AL64" i="10"/>
  <c r="AM64" i="10"/>
  <c r="AN64" i="10"/>
  <c r="AH24" i="10"/>
  <c r="AI24" i="10"/>
  <c r="AJ24" i="10"/>
  <c r="AK24" i="10"/>
  <c r="AL24" i="10"/>
  <c r="AM24" i="10"/>
  <c r="AN24" i="10"/>
  <c r="AH25" i="10"/>
  <c r="AI25" i="10"/>
  <c r="AJ25" i="10"/>
  <c r="AK25" i="10"/>
  <c r="AL25" i="10"/>
  <c r="AM25" i="10"/>
  <c r="AN25" i="10"/>
  <c r="AH26" i="10"/>
  <c r="AI26" i="10"/>
  <c r="AJ26" i="10"/>
  <c r="AK26" i="10"/>
  <c r="AL26" i="10"/>
  <c r="AM26" i="10"/>
  <c r="AN26" i="10"/>
  <c r="AH27" i="10"/>
  <c r="AI27" i="10"/>
  <c r="AJ27" i="10"/>
  <c r="AK27" i="10"/>
  <c r="AL27" i="10"/>
  <c r="AM27" i="10"/>
  <c r="AN27" i="10"/>
  <c r="AH28" i="10"/>
  <c r="AI28" i="10"/>
  <c r="AJ28" i="10"/>
  <c r="AK28" i="10"/>
  <c r="AL28" i="10"/>
  <c r="AM28" i="10"/>
  <c r="AN28" i="10"/>
  <c r="AH29" i="10"/>
  <c r="AI29" i="10"/>
  <c r="AJ29" i="10"/>
  <c r="AK29" i="10"/>
  <c r="AL29" i="10"/>
  <c r="AM29" i="10"/>
  <c r="AN29" i="10"/>
  <c r="AH30" i="10"/>
  <c r="AI30" i="10"/>
  <c r="AJ30" i="10"/>
  <c r="AK30" i="10"/>
  <c r="AL30" i="10"/>
  <c r="AM30" i="10"/>
  <c r="AN30" i="10"/>
  <c r="AH31" i="10"/>
  <c r="AI31" i="10"/>
  <c r="AJ31" i="10"/>
  <c r="AK31" i="10"/>
  <c r="AL31" i="10"/>
  <c r="AM31" i="10"/>
  <c r="AN31" i="10"/>
  <c r="AH32" i="10"/>
  <c r="AI32" i="10"/>
  <c r="AJ32" i="10"/>
  <c r="AK32" i="10"/>
  <c r="AL32" i="10"/>
  <c r="AM32" i="10"/>
  <c r="AN32" i="10"/>
  <c r="AH33" i="10"/>
  <c r="AI33" i="10"/>
  <c r="AJ33" i="10"/>
  <c r="AK33" i="10"/>
  <c r="AL33" i="10"/>
  <c r="AM33" i="10"/>
  <c r="AN33" i="10"/>
  <c r="AH34" i="10"/>
  <c r="AI34" i="10"/>
  <c r="AJ34" i="10"/>
  <c r="AK34" i="10"/>
  <c r="AL34" i="10"/>
  <c r="AM34" i="10"/>
  <c r="AN34" i="10"/>
  <c r="AH35" i="10"/>
  <c r="AI35" i="10"/>
  <c r="AJ35" i="10"/>
  <c r="AK35" i="10"/>
  <c r="AL35" i="10"/>
  <c r="AM35" i="10"/>
  <c r="AN35" i="10"/>
  <c r="AH36" i="10"/>
  <c r="AI36" i="10"/>
  <c r="AJ36" i="10"/>
  <c r="AK36" i="10"/>
  <c r="AL36" i="10"/>
  <c r="AM36" i="10"/>
  <c r="AN36" i="10"/>
  <c r="AH37" i="10"/>
  <c r="AI37" i="10"/>
  <c r="AJ37" i="10"/>
  <c r="AK37" i="10"/>
  <c r="AL37" i="10"/>
  <c r="AM37" i="10"/>
  <c r="AN37" i="10"/>
  <c r="AH38" i="10"/>
  <c r="AI38" i="10"/>
  <c r="AJ38" i="10"/>
  <c r="AK38" i="10"/>
  <c r="AL38" i="10"/>
  <c r="AM38" i="10"/>
  <c r="AN38" i="10"/>
  <c r="AH39" i="10"/>
  <c r="AI39" i="10"/>
  <c r="AJ39" i="10"/>
  <c r="AK39" i="10"/>
  <c r="AL39" i="10"/>
  <c r="AM39" i="10"/>
  <c r="AN39" i="10"/>
  <c r="AH40" i="10"/>
  <c r="AI40" i="10"/>
  <c r="AJ40" i="10"/>
  <c r="AK40" i="10"/>
  <c r="AL40" i="10"/>
  <c r="AM40" i="10"/>
  <c r="AN40" i="10"/>
  <c r="AH41" i="10"/>
  <c r="AI41" i="10"/>
  <c r="AJ41" i="10"/>
  <c r="AK41" i="10"/>
  <c r="AL41" i="10"/>
  <c r="AM41" i="10"/>
  <c r="AN41" i="10"/>
  <c r="AH42" i="10"/>
  <c r="AI42" i="10"/>
  <c r="AJ42" i="10"/>
  <c r="AK42" i="10"/>
  <c r="AL42" i="10"/>
  <c r="AM42" i="10"/>
  <c r="AN42" i="10"/>
  <c r="AH20" i="10"/>
  <c r="AI20" i="10"/>
  <c r="AJ20" i="10"/>
  <c r="AK20" i="10"/>
  <c r="AL20" i="10"/>
  <c r="AM20" i="10"/>
  <c r="AN20" i="10"/>
  <c r="AH21" i="10"/>
  <c r="AI21" i="10"/>
  <c r="AJ21" i="10"/>
  <c r="AK21" i="10"/>
  <c r="AL21" i="10"/>
  <c r="AM21" i="10"/>
  <c r="AN21" i="10"/>
  <c r="AH22" i="10"/>
  <c r="AI22" i="10"/>
  <c r="AJ22" i="10"/>
  <c r="AK22" i="10"/>
  <c r="AL22" i="10"/>
  <c r="AM22" i="10"/>
  <c r="AN22" i="10"/>
  <c r="AG20" i="9"/>
  <c r="AH20" i="9"/>
  <c r="AI20" i="9"/>
  <c r="AJ20" i="9"/>
  <c r="AK20" i="9"/>
  <c r="AL20" i="9"/>
  <c r="AM20" i="9"/>
  <c r="AG21" i="9"/>
  <c r="AH21" i="9"/>
  <c r="AI21" i="9"/>
  <c r="AJ21" i="9"/>
  <c r="AK21" i="9"/>
  <c r="AL21" i="9"/>
  <c r="AM21" i="9"/>
  <c r="AG22" i="9"/>
  <c r="AH22" i="9"/>
  <c r="AI22" i="9"/>
  <c r="AJ22" i="9"/>
  <c r="AK22" i="9"/>
  <c r="AL22" i="9"/>
  <c r="AM22" i="9"/>
  <c r="AG23" i="9"/>
  <c r="AH23" i="9"/>
  <c r="AI23" i="9"/>
  <c r="AJ23" i="9"/>
  <c r="AK23" i="9"/>
  <c r="AL23" i="9"/>
  <c r="AM23" i="9"/>
  <c r="AG24" i="9"/>
  <c r="AH24" i="9"/>
  <c r="AI24" i="9"/>
  <c r="AJ24" i="9"/>
  <c r="AK24" i="9"/>
  <c r="AL24" i="9"/>
  <c r="AM24" i="9"/>
  <c r="AG25" i="9"/>
  <c r="AH25" i="9"/>
  <c r="AI25" i="9"/>
  <c r="AJ25" i="9"/>
  <c r="AK25" i="9"/>
  <c r="AL25" i="9"/>
  <c r="AM25" i="9"/>
  <c r="AG26" i="9"/>
  <c r="AH26" i="9"/>
  <c r="AI26" i="9"/>
  <c r="AJ26" i="9"/>
  <c r="AK26" i="9"/>
  <c r="AL26" i="9"/>
  <c r="AM26" i="9"/>
  <c r="AG27" i="9"/>
  <c r="AH27" i="9"/>
  <c r="AI27" i="9"/>
  <c r="AJ27" i="9"/>
  <c r="AK27" i="9"/>
  <c r="AL27" i="9"/>
  <c r="AM27" i="9"/>
  <c r="AG28" i="9"/>
  <c r="AH28" i="9"/>
  <c r="AI28" i="9"/>
  <c r="AJ28" i="9"/>
  <c r="AK28" i="9"/>
  <c r="AL28" i="9"/>
  <c r="AM28" i="9"/>
  <c r="AG29" i="9"/>
  <c r="AH29" i="9"/>
  <c r="AI29" i="9"/>
  <c r="AJ29" i="9"/>
  <c r="AK29" i="9"/>
  <c r="AL29" i="9"/>
  <c r="AM29" i="9"/>
  <c r="AG30" i="9"/>
  <c r="AH30" i="9"/>
  <c r="AI30" i="9"/>
  <c r="AJ30" i="9"/>
  <c r="AK30" i="9"/>
  <c r="AL30" i="9"/>
  <c r="AM30" i="9"/>
  <c r="AG31" i="9"/>
  <c r="AH31" i="9"/>
  <c r="AI31" i="9"/>
  <c r="AJ31" i="9"/>
  <c r="AK31" i="9"/>
  <c r="AL31" i="9"/>
  <c r="AM31" i="9"/>
  <c r="AG32" i="9"/>
  <c r="AH32" i="9"/>
  <c r="AI32" i="9"/>
  <c r="AJ32" i="9"/>
  <c r="AK32" i="9"/>
  <c r="AL32" i="9"/>
  <c r="AM32" i="9"/>
  <c r="AG33" i="9"/>
  <c r="AH33" i="9"/>
  <c r="AI33" i="9"/>
  <c r="AJ33" i="9"/>
  <c r="AK33" i="9"/>
  <c r="AL33" i="9"/>
  <c r="AM33" i="9"/>
  <c r="AG34" i="9"/>
  <c r="AH34" i="9"/>
  <c r="AI34" i="9"/>
  <c r="AJ34" i="9"/>
  <c r="AK34" i="9"/>
  <c r="AL34" i="9"/>
  <c r="AM34" i="9"/>
  <c r="AG35" i="9"/>
  <c r="AH35" i="9"/>
  <c r="AI35" i="9"/>
  <c r="AJ35" i="9"/>
  <c r="AK35" i="9"/>
  <c r="AL35" i="9"/>
  <c r="AM35" i="9"/>
  <c r="AG36" i="9"/>
  <c r="AH36" i="9"/>
  <c r="AI36" i="9"/>
  <c r="AJ36" i="9"/>
  <c r="AK36" i="9"/>
  <c r="AL36" i="9"/>
  <c r="AM36" i="9"/>
  <c r="AG37" i="9"/>
  <c r="AH37" i="9"/>
  <c r="AI37" i="9"/>
  <c r="AJ37" i="9"/>
  <c r="AK37" i="9"/>
  <c r="AL37" i="9"/>
  <c r="AM37" i="9"/>
  <c r="AG38" i="9"/>
  <c r="AH38" i="9"/>
  <c r="AI38" i="9"/>
  <c r="AJ38" i="9"/>
  <c r="AK38" i="9"/>
  <c r="AL38" i="9"/>
  <c r="AM38" i="9"/>
  <c r="AF27" i="11"/>
  <c r="AF37" i="11" s="1"/>
  <c r="N26" i="11"/>
  <c r="N36" i="11" s="1"/>
  <c r="X28" i="11"/>
  <c r="X38" i="11" s="1"/>
  <c r="R29" i="11"/>
  <c r="R39" i="11" s="1"/>
  <c r="N21" i="11"/>
  <c r="O21" i="11"/>
  <c r="Q21" i="11"/>
  <c r="Z21" i="11"/>
  <c r="N47" i="10"/>
  <c r="T48" i="10"/>
  <c r="X48" i="10"/>
  <c r="L49" i="10"/>
  <c r="M49" i="10"/>
  <c r="X49" i="10"/>
  <c r="Y49" i="10"/>
  <c r="Z49" i="10"/>
  <c r="X50" i="10"/>
  <c r="U51" i="10"/>
  <c r="X51" i="10"/>
  <c r="Y51" i="10"/>
  <c r="Z52" i="10"/>
  <c r="AF53" i="10"/>
  <c r="S54" i="10"/>
  <c r="T54" i="10"/>
  <c r="X55" i="10"/>
  <c r="Z55" i="10"/>
  <c r="AF55" i="10"/>
  <c r="AD56" i="10"/>
  <c r="AD58" i="10"/>
  <c r="Z60" i="10"/>
  <c r="AD62" i="10"/>
  <c r="H63" i="10"/>
  <c r="X63" i="10"/>
  <c r="L24" i="10"/>
  <c r="L47" i="10" s="1"/>
  <c r="AF24" i="10"/>
  <c r="AF47" i="10" s="1"/>
  <c r="F25" i="10"/>
  <c r="G25" i="10"/>
  <c r="W25" i="10"/>
  <c r="Z25" i="10"/>
  <c r="Z24" i="11" s="1"/>
  <c r="Z34" i="11" s="1"/>
  <c r="AE25" i="10"/>
  <c r="AF25" i="10"/>
  <c r="AG25" i="10"/>
  <c r="E26" i="10"/>
  <c r="T26" i="10"/>
  <c r="X26" i="10"/>
  <c r="N27" i="10"/>
  <c r="N50" i="10" s="1"/>
  <c r="O27" i="10"/>
  <c r="Q27" i="10"/>
  <c r="Q26" i="11" s="1"/>
  <c r="Q36" i="11" s="1"/>
  <c r="R27" i="10"/>
  <c r="S27" i="10"/>
  <c r="S26" i="11" s="1"/>
  <c r="S36" i="11" s="1"/>
  <c r="AF27" i="10"/>
  <c r="AF50" i="10" s="1"/>
  <c r="AG27" i="10"/>
  <c r="AG50" i="10" s="1"/>
  <c r="E28" i="10"/>
  <c r="E51" i="10" s="1"/>
  <c r="L28" i="10"/>
  <c r="M28" i="10"/>
  <c r="Z28" i="10"/>
  <c r="AA28" i="10"/>
  <c r="AC28" i="10"/>
  <c r="AD28" i="10"/>
  <c r="AF28" i="10"/>
  <c r="AF51" i="10" s="1"/>
  <c r="U29" i="10"/>
  <c r="V29" i="10"/>
  <c r="AG29" i="10"/>
  <c r="D30" i="10"/>
  <c r="E30" i="10"/>
  <c r="F30" i="10"/>
  <c r="H30" i="10"/>
  <c r="AA30" i="10"/>
  <c r="AB30" i="10"/>
  <c r="F31" i="10"/>
  <c r="F54" i="10" s="1"/>
  <c r="I31" i="10"/>
  <c r="I54" i="10" s="1"/>
  <c r="J31" i="10"/>
  <c r="J54" i="10" s="1"/>
  <c r="K31" i="10"/>
  <c r="K54" i="10" s="1"/>
  <c r="M31" i="10"/>
  <c r="M54" i="10" s="1"/>
  <c r="W31" i="10"/>
  <c r="W54" i="10" s="1"/>
  <c r="H32" i="10"/>
  <c r="H55" i="10" s="1"/>
  <c r="L32" i="10"/>
  <c r="L55" i="10" s="1"/>
  <c r="O32" i="10"/>
  <c r="O55" i="10" s="1"/>
  <c r="P32" i="10"/>
  <c r="P55" i="10" s="1"/>
  <c r="X32" i="10"/>
  <c r="AA32" i="10"/>
  <c r="AA55" i="10" s="1"/>
  <c r="AB32" i="10"/>
  <c r="AB55" i="10" s="1"/>
  <c r="K33" i="10"/>
  <c r="K56" i="10" s="1"/>
  <c r="L33" i="10"/>
  <c r="L56" i="10" s="1"/>
  <c r="M33" i="10"/>
  <c r="M56" i="10" s="1"/>
  <c r="N33" i="10"/>
  <c r="N56" i="10" s="1"/>
  <c r="AD33" i="10"/>
  <c r="AG33" i="10"/>
  <c r="AG56" i="10" s="1"/>
  <c r="D34" i="10"/>
  <c r="D57" i="10" s="1"/>
  <c r="L34" i="10"/>
  <c r="L57" i="10" s="1"/>
  <c r="O34" i="10"/>
  <c r="O57" i="10" s="1"/>
  <c r="P34" i="10"/>
  <c r="P57" i="10" s="1"/>
  <c r="Q34" i="10"/>
  <c r="Q57" i="10" s="1"/>
  <c r="N35" i="10"/>
  <c r="N58" i="10" s="1"/>
  <c r="R35" i="10"/>
  <c r="R58" i="10" s="1"/>
  <c r="U35" i="10"/>
  <c r="U58" i="10" s="1"/>
  <c r="V35" i="10"/>
  <c r="V58" i="10" s="1"/>
  <c r="AD35" i="10"/>
  <c r="AG35" i="10"/>
  <c r="AG58" i="10" s="1"/>
  <c r="D36" i="10"/>
  <c r="D59" i="10" s="1"/>
  <c r="Q36" i="10"/>
  <c r="Q59" i="10" s="1"/>
  <c r="R36" i="10"/>
  <c r="R59" i="10" s="1"/>
  <c r="T36" i="10"/>
  <c r="T59" i="10" s="1"/>
  <c r="F37" i="10"/>
  <c r="F60" i="10" s="1"/>
  <c r="R37" i="10"/>
  <c r="R60" i="10" s="1"/>
  <c r="U37" i="10"/>
  <c r="U60" i="10" s="1"/>
  <c r="V37" i="10"/>
  <c r="V60" i="10" s="1"/>
  <c r="AD37" i="10"/>
  <c r="AD60" i="10" s="1"/>
  <c r="AG37" i="10"/>
  <c r="AG60" i="10" s="1"/>
  <c r="D38" i="10"/>
  <c r="D61" i="10" s="1"/>
  <c r="O38" i="10"/>
  <c r="O61" i="10" s="1"/>
  <c r="P38" i="10"/>
  <c r="P61" i="10" s="1"/>
  <c r="Q38" i="10"/>
  <c r="Q61" i="10" s="1"/>
  <c r="R38" i="10"/>
  <c r="R61" i="10" s="1"/>
  <c r="T38" i="10"/>
  <c r="T61" i="10" s="1"/>
  <c r="N39" i="10"/>
  <c r="N62" i="10" s="1"/>
  <c r="R39" i="10"/>
  <c r="R62" i="10" s="1"/>
  <c r="AD39" i="10"/>
  <c r="AG39" i="10"/>
  <c r="AG62" i="10" s="1"/>
  <c r="L40" i="10"/>
  <c r="L63" i="10" s="1"/>
  <c r="N40" i="10"/>
  <c r="N63" i="10" s="1"/>
  <c r="O40" i="10"/>
  <c r="O63" i="10" s="1"/>
  <c r="P40" i="10"/>
  <c r="P63" i="10" s="1"/>
  <c r="X40" i="10"/>
  <c r="AA40" i="10"/>
  <c r="AA63" i="10" s="1"/>
  <c r="AB40" i="10"/>
  <c r="AB63" i="10" s="1"/>
  <c r="F41" i="10"/>
  <c r="F64" i="10" s="1"/>
  <c r="H41" i="10"/>
  <c r="H64" i="10" s="1"/>
  <c r="I41" i="10"/>
  <c r="I64" i="10" s="1"/>
  <c r="J41" i="10"/>
  <c r="J64" i="10" s="1"/>
  <c r="R41" i="10"/>
  <c r="R64" i="10" s="1"/>
  <c r="U41" i="10"/>
  <c r="U64" i="10" s="1"/>
  <c r="V41" i="10"/>
  <c r="V64" i="10" s="1"/>
  <c r="AD41" i="10"/>
  <c r="AD64" i="10" s="1"/>
  <c r="AF41" i="10"/>
  <c r="AF64" i="10" s="1"/>
  <c r="AG41" i="10"/>
  <c r="AG64" i="10" s="1"/>
  <c r="D42" i="10"/>
  <c r="L42" i="10"/>
  <c r="O42" i="10"/>
  <c r="P42" i="10"/>
  <c r="X42" i="10"/>
  <c r="Z42" i="10"/>
  <c r="AA42" i="10"/>
  <c r="AB42" i="10"/>
  <c r="C27" i="10"/>
  <c r="C30" i="10"/>
  <c r="C31" i="10"/>
  <c r="C54" i="10" s="1"/>
  <c r="C39" i="10"/>
  <c r="C62" i="10" s="1"/>
  <c r="C41" i="10"/>
  <c r="C64" i="10" s="1"/>
  <c r="C42" i="10"/>
  <c r="C24" i="10"/>
  <c r="C47" i="10" s="1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D21" i="10"/>
  <c r="D20" i="11" s="1"/>
  <c r="E21" i="10"/>
  <c r="E20" i="11" s="1"/>
  <c r="F21" i="10"/>
  <c r="F20" i="11" s="1"/>
  <c r="G21" i="10"/>
  <c r="G20" i="11" s="1"/>
  <c r="H21" i="10"/>
  <c r="H20" i="11" s="1"/>
  <c r="I21" i="10"/>
  <c r="I20" i="11" s="1"/>
  <c r="J21" i="10"/>
  <c r="J20" i="11" s="1"/>
  <c r="K21" i="10"/>
  <c r="K20" i="11" s="1"/>
  <c r="L21" i="10"/>
  <c r="L20" i="11" s="1"/>
  <c r="M21" i="10"/>
  <c r="M20" i="11" s="1"/>
  <c r="N21" i="10"/>
  <c r="N20" i="11" s="1"/>
  <c r="O21" i="10"/>
  <c r="O20" i="11" s="1"/>
  <c r="P21" i="10"/>
  <c r="P20" i="11" s="1"/>
  <c r="Q21" i="10"/>
  <c r="Q20" i="11" s="1"/>
  <c r="R21" i="10"/>
  <c r="R20" i="11" s="1"/>
  <c r="S21" i="10"/>
  <c r="S20" i="11" s="1"/>
  <c r="T21" i="10"/>
  <c r="T20" i="11" s="1"/>
  <c r="U21" i="10"/>
  <c r="U20" i="11" s="1"/>
  <c r="V21" i="10"/>
  <c r="V20" i="11" s="1"/>
  <c r="W21" i="10"/>
  <c r="W20" i="11" s="1"/>
  <c r="X21" i="10"/>
  <c r="X20" i="11" s="1"/>
  <c r="Y21" i="10"/>
  <c r="Y20" i="11" s="1"/>
  <c r="Z21" i="10"/>
  <c r="Z20" i="11" s="1"/>
  <c r="AA21" i="10"/>
  <c r="AA20" i="11" s="1"/>
  <c r="AB21" i="10"/>
  <c r="AB20" i="11" s="1"/>
  <c r="AC21" i="10"/>
  <c r="AC20" i="11" s="1"/>
  <c r="AD21" i="10"/>
  <c r="AD20" i="11" s="1"/>
  <c r="AE21" i="10"/>
  <c r="AE20" i="11" s="1"/>
  <c r="AF21" i="10"/>
  <c r="AF20" i="11" s="1"/>
  <c r="AG21" i="10"/>
  <c r="AG20" i="11" s="1"/>
  <c r="D22" i="10"/>
  <c r="D21" i="11" s="1"/>
  <c r="E22" i="10"/>
  <c r="E21" i="11" s="1"/>
  <c r="F22" i="10"/>
  <c r="F21" i="11" s="1"/>
  <c r="G22" i="10"/>
  <c r="G21" i="11" s="1"/>
  <c r="H22" i="10"/>
  <c r="H21" i="11" s="1"/>
  <c r="I22" i="10"/>
  <c r="I21" i="11" s="1"/>
  <c r="J22" i="10"/>
  <c r="J21" i="11" s="1"/>
  <c r="K22" i="10"/>
  <c r="K21" i="11" s="1"/>
  <c r="L22" i="10"/>
  <c r="L21" i="11" s="1"/>
  <c r="M22" i="10"/>
  <c r="M21" i="11" s="1"/>
  <c r="N22" i="10"/>
  <c r="O22" i="10"/>
  <c r="P22" i="10"/>
  <c r="P21" i="11" s="1"/>
  <c r="Q22" i="10"/>
  <c r="R22" i="10"/>
  <c r="R21" i="11" s="1"/>
  <c r="S22" i="10"/>
  <c r="S21" i="11" s="1"/>
  <c r="T22" i="10"/>
  <c r="T21" i="11" s="1"/>
  <c r="U22" i="10"/>
  <c r="U21" i="11" s="1"/>
  <c r="V22" i="10"/>
  <c r="V21" i="11" s="1"/>
  <c r="W22" i="10"/>
  <c r="W21" i="11" s="1"/>
  <c r="X22" i="10"/>
  <c r="X21" i="11" s="1"/>
  <c r="Y22" i="10"/>
  <c r="Y21" i="11" s="1"/>
  <c r="Z22" i="10"/>
  <c r="AA22" i="10"/>
  <c r="AA21" i="11" s="1"/>
  <c r="AB22" i="10"/>
  <c r="AB21" i="11" s="1"/>
  <c r="AC22" i="10"/>
  <c r="AC21" i="11" s="1"/>
  <c r="AD22" i="10"/>
  <c r="AD21" i="11" s="1"/>
  <c r="AE22" i="10"/>
  <c r="AE21" i="11" s="1"/>
  <c r="AF22" i="10"/>
  <c r="AF21" i="11" s="1"/>
  <c r="AG22" i="10"/>
  <c r="AG21" i="11" s="1"/>
  <c r="C21" i="10"/>
  <c r="C20" i="11" s="1"/>
  <c r="C22" i="10"/>
  <c r="C21" i="11" s="1"/>
  <c r="C20" i="10"/>
  <c r="C20" i="9"/>
  <c r="D24" i="10" s="1"/>
  <c r="D47" i="10" s="1"/>
  <c r="D20" i="9"/>
  <c r="E24" i="10" s="1"/>
  <c r="E47" i="10" s="1"/>
  <c r="E20" i="9"/>
  <c r="F24" i="10" s="1"/>
  <c r="F47" i="10" s="1"/>
  <c r="F20" i="9"/>
  <c r="G24" i="10" s="1"/>
  <c r="G47" i="10" s="1"/>
  <c r="G20" i="9"/>
  <c r="H24" i="10" s="1"/>
  <c r="H47" i="10" s="1"/>
  <c r="H20" i="9"/>
  <c r="I24" i="10" s="1"/>
  <c r="I47" i="10" s="1"/>
  <c r="I20" i="9"/>
  <c r="J24" i="10" s="1"/>
  <c r="J47" i="10" s="1"/>
  <c r="J20" i="9"/>
  <c r="K24" i="10" s="1"/>
  <c r="K47" i="10" s="1"/>
  <c r="K20" i="9"/>
  <c r="L20" i="9"/>
  <c r="M24" i="10" s="1"/>
  <c r="M47" i="10" s="1"/>
  <c r="M20" i="9"/>
  <c r="N24" i="10" s="1"/>
  <c r="N20" i="9"/>
  <c r="O24" i="10" s="1"/>
  <c r="O47" i="10" s="1"/>
  <c r="O20" i="9"/>
  <c r="P24" i="10" s="1"/>
  <c r="P47" i="10" s="1"/>
  <c r="P20" i="9"/>
  <c r="Q24" i="10" s="1"/>
  <c r="Q47" i="10" s="1"/>
  <c r="Q20" i="9"/>
  <c r="R24" i="10" s="1"/>
  <c r="R47" i="10" s="1"/>
  <c r="R20" i="9"/>
  <c r="S24" i="10" s="1"/>
  <c r="S47" i="10" s="1"/>
  <c r="S20" i="9"/>
  <c r="T24" i="10" s="1"/>
  <c r="T47" i="10" s="1"/>
  <c r="T20" i="9"/>
  <c r="U24" i="10" s="1"/>
  <c r="U47" i="10" s="1"/>
  <c r="U20" i="9"/>
  <c r="V24" i="10" s="1"/>
  <c r="V47" i="10" s="1"/>
  <c r="V20" i="9"/>
  <c r="W24" i="10" s="1"/>
  <c r="W47" i="10" s="1"/>
  <c r="W20" i="9"/>
  <c r="X24" i="10" s="1"/>
  <c r="X47" i="10" s="1"/>
  <c r="X20" i="9"/>
  <c r="Y24" i="10" s="1"/>
  <c r="Y47" i="10" s="1"/>
  <c r="Y20" i="9"/>
  <c r="Z24" i="10" s="1"/>
  <c r="Z47" i="10" s="1"/>
  <c r="Z20" i="9"/>
  <c r="AA24" i="10" s="1"/>
  <c r="AA47" i="10" s="1"/>
  <c r="AA20" i="9"/>
  <c r="AB24" i="10" s="1"/>
  <c r="AB47" i="10" s="1"/>
  <c r="AB20" i="9"/>
  <c r="AC24" i="10" s="1"/>
  <c r="AC47" i="10" s="1"/>
  <c r="AC20" i="9"/>
  <c r="AD24" i="10" s="1"/>
  <c r="AD47" i="10" s="1"/>
  <c r="AD20" i="9"/>
  <c r="AE24" i="10" s="1"/>
  <c r="AE47" i="10" s="1"/>
  <c r="AE20" i="9"/>
  <c r="AF20" i="9"/>
  <c r="AG24" i="10" s="1"/>
  <c r="AG47" i="10" s="1"/>
  <c r="C21" i="9"/>
  <c r="D25" i="10" s="1"/>
  <c r="D21" i="9"/>
  <c r="E25" i="10" s="1"/>
  <c r="E21" i="9"/>
  <c r="F21" i="9"/>
  <c r="G21" i="9"/>
  <c r="H25" i="10" s="1"/>
  <c r="H21" i="9"/>
  <c r="I25" i="10" s="1"/>
  <c r="I21" i="9"/>
  <c r="J25" i="10" s="1"/>
  <c r="J21" i="9"/>
  <c r="K25" i="10" s="1"/>
  <c r="K21" i="9"/>
  <c r="L25" i="10" s="1"/>
  <c r="L48" i="10" s="1"/>
  <c r="L21" i="9"/>
  <c r="M25" i="10" s="1"/>
  <c r="M48" i="10" s="1"/>
  <c r="M21" i="9"/>
  <c r="N25" i="10" s="1"/>
  <c r="N21" i="9"/>
  <c r="O25" i="10" s="1"/>
  <c r="O21" i="9"/>
  <c r="P25" i="10" s="1"/>
  <c r="P21" i="9"/>
  <c r="Q25" i="10" s="1"/>
  <c r="Q21" i="9"/>
  <c r="R25" i="10" s="1"/>
  <c r="R24" i="11" s="1"/>
  <c r="R34" i="11" s="1"/>
  <c r="R21" i="9"/>
  <c r="S25" i="10" s="1"/>
  <c r="S24" i="11" s="1"/>
  <c r="S34" i="11" s="1"/>
  <c r="S21" i="9"/>
  <c r="T25" i="10" s="1"/>
  <c r="T24" i="11" s="1"/>
  <c r="T34" i="11" s="1"/>
  <c r="T21" i="9"/>
  <c r="U25" i="10" s="1"/>
  <c r="U21" i="9"/>
  <c r="V25" i="10" s="1"/>
  <c r="V48" i="10" s="1"/>
  <c r="V21" i="9"/>
  <c r="W21" i="9"/>
  <c r="X25" i="10" s="1"/>
  <c r="X24" i="11" s="1"/>
  <c r="X34" i="11" s="1"/>
  <c r="X21" i="9"/>
  <c r="Y25" i="10" s="1"/>
  <c r="Y21" i="9"/>
  <c r="Z21" i="9"/>
  <c r="AA25" i="10" s="1"/>
  <c r="AA21" i="9"/>
  <c r="AB25" i="10" s="1"/>
  <c r="AB21" i="9"/>
  <c r="AC25" i="10" s="1"/>
  <c r="AC21" i="9"/>
  <c r="AD25" i="10" s="1"/>
  <c r="AD48" i="10" s="1"/>
  <c r="AD21" i="9"/>
  <c r="AE21" i="9"/>
  <c r="AF21" i="9"/>
  <c r="C22" i="9"/>
  <c r="D26" i="10" s="1"/>
  <c r="D22" i="9"/>
  <c r="E22" i="9"/>
  <c r="F26" i="10" s="1"/>
  <c r="F49" i="10" s="1"/>
  <c r="F22" i="9"/>
  <c r="G26" i="10" s="1"/>
  <c r="G22" i="9"/>
  <c r="H26" i="10" s="1"/>
  <c r="H49" i="10" s="1"/>
  <c r="H22" i="9"/>
  <c r="I26" i="10" s="1"/>
  <c r="I49" i="10" s="1"/>
  <c r="I22" i="9"/>
  <c r="J26" i="10" s="1"/>
  <c r="J26" i="11" s="1"/>
  <c r="J36" i="11" s="1"/>
  <c r="J22" i="9"/>
  <c r="K26" i="10" s="1"/>
  <c r="K49" i="10" s="1"/>
  <c r="K22" i="9"/>
  <c r="L26" i="10" s="1"/>
  <c r="L22" i="9"/>
  <c r="M26" i="10" s="1"/>
  <c r="M22" i="9"/>
  <c r="N26" i="10" s="1"/>
  <c r="N22" i="9"/>
  <c r="O26" i="10" s="1"/>
  <c r="O22" i="9"/>
  <c r="P26" i="10" s="1"/>
  <c r="P22" i="9"/>
  <c r="Q26" i="10" s="1"/>
  <c r="Q22" i="9"/>
  <c r="R26" i="10" s="1"/>
  <c r="R49" i="10" s="1"/>
  <c r="R22" i="9"/>
  <c r="S26" i="10" s="1"/>
  <c r="S22" i="9"/>
  <c r="T22" i="9"/>
  <c r="U26" i="10" s="1"/>
  <c r="U22" i="9"/>
  <c r="V26" i="10" s="1"/>
  <c r="V22" i="9"/>
  <c r="W26" i="10" s="1"/>
  <c r="W22" i="9"/>
  <c r="X22" i="9"/>
  <c r="Y26" i="10" s="1"/>
  <c r="Y25" i="11" s="1"/>
  <c r="Y35" i="11" s="1"/>
  <c r="Y22" i="9"/>
  <c r="Z26" i="10" s="1"/>
  <c r="Z22" i="9"/>
  <c r="AA26" i="10" s="1"/>
  <c r="AA22" i="9"/>
  <c r="AB26" i="10" s="1"/>
  <c r="AB22" i="9"/>
  <c r="AC26" i="10" s="1"/>
  <c r="AC22" i="9"/>
  <c r="AD26" i="10" s="1"/>
  <c r="AD22" i="9"/>
  <c r="AE26" i="10" s="1"/>
  <c r="AE22" i="9"/>
  <c r="AF26" i="10" s="1"/>
  <c r="AF22" i="9"/>
  <c r="AG26" i="10" s="1"/>
  <c r="AG26" i="11" s="1"/>
  <c r="AG36" i="11" s="1"/>
  <c r="C23" i="9"/>
  <c r="D27" i="10" s="1"/>
  <c r="D23" i="9"/>
  <c r="E27" i="10" s="1"/>
  <c r="E23" i="9"/>
  <c r="F27" i="10" s="1"/>
  <c r="F23" i="9"/>
  <c r="G27" i="10" s="1"/>
  <c r="G23" i="9"/>
  <c r="H27" i="10" s="1"/>
  <c r="H50" i="10" s="1"/>
  <c r="H23" i="9"/>
  <c r="I27" i="10" s="1"/>
  <c r="I50" i="10" s="1"/>
  <c r="I23" i="9"/>
  <c r="J27" i="10" s="1"/>
  <c r="J50" i="10" s="1"/>
  <c r="J23" i="9"/>
  <c r="K27" i="10" s="1"/>
  <c r="K23" i="9"/>
  <c r="L27" i="10" s="1"/>
  <c r="L23" i="9"/>
  <c r="M27" i="10" s="1"/>
  <c r="M23" i="9"/>
  <c r="N23" i="9"/>
  <c r="O23" i="9"/>
  <c r="P27" i="10" s="1"/>
  <c r="P23" i="9"/>
  <c r="Q23" i="9"/>
  <c r="R23" i="9"/>
  <c r="S23" i="9"/>
  <c r="T27" i="10" s="1"/>
  <c r="T23" i="9"/>
  <c r="U27" i="10" s="1"/>
  <c r="U23" i="9"/>
  <c r="V27" i="10" s="1"/>
  <c r="V23" i="9"/>
  <c r="W27" i="10" s="1"/>
  <c r="W23" i="9"/>
  <c r="X27" i="10" s="1"/>
  <c r="X26" i="11" s="1"/>
  <c r="X36" i="11" s="1"/>
  <c r="X23" i="9"/>
  <c r="Y27" i="10" s="1"/>
  <c r="Y23" i="9"/>
  <c r="Z27" i="10" s="1"/>
  <c r="Z23" i="9"/>
  <c r="AA27" i="10" s="1"/>
  <c r="AA23" i="9"/>
  <c r="AB27" i="10" s="1"/>
  <c r="AB23" i="9"/>
  <c r="AC27" i="10" s="1"/>
  <c r="AC23" i="9"/>
  <c r="AD27" i="10" s="1"/>
  <c r="AD23" i="9"/>
  <c r="AE27" i="10" s="1"/>
  <c r="AE23" i="9"/>
  <c r="AF23" i="9"/>
  <c r="C24" i="9"/>
  <c r="D28" i="10" s="1"/>
  <c r="D51" i="10" s="1"/>
  <c r="D24" i="9"/>
  <c r="E24" i="9"/>
  <c r="F28" i="10" s="1"/>
  <c r="F24" i="9"/>
  <c r="G28" i="10" s="1"/>
  <c r="G24" i="9"/>
  <c r="H28" i="10" s="1"/>
  <c r="H24" i="9"/>
  <c r="I28" i="10" s="1"/>
  <c r="I24" i="9"/>
  <c r="J28" i="10" s="1"/>
  <c r="J51" i="10" s="1"/>
  <c r="J24" i="9"/>
  <c r="K28" i="10" s="1"/>
  <c r="K24" i="9"/>
  <c r="L24" i="9"/>
  <c r="M24" i="9"/>
  <c r="N28" i="10" s="1"/>
  <c r="N24" i="9"/>
  <c r="O28" i="10" s="1"/>
  <c r="O24" i="9"/>
  <c r="P28" i="10" s="1"/>
  <c r="P51" i="10" s="1"/>
  <c r="P24" i="9"/>
  <c r="Q28" i="10" s="1"/>
  <c r="Q51" i="10" s="1"/>
  <c r="Q24" i="9"/>
  <c r="R28" i="10" s="1"/>
  <c r="R51" i="10" s="1"/>
  <c r="R24" i="9"/>
  <c r="S28" i="10" s="1"/>
  <c r="S24" i="9"/>
  <c r="T28" i="10" s="1"/>
  <c r="T24" i="9"/>
  <c r="U28" i="10" s="1"/>
  <c r="U27" i="11" s="1"/>
  <c r="U37" i="11" s="1"/>
  <c r="U24" i="9"/>
  <c r="V28" i="10" s="1"/>
  <c r="V27" i="11" s="1"/>
  <c r="V37" i="11" s="1"/>
  <c r="V24" i="9"/>
  <c r="W28" i="10" s="1"/>
  <c r="W27" i="11" s="1"/>
  <c r="W37" i="11" s="1"/>
  <c r="W24" i="9"/>
  <c r="X28" i="10" s="1"/>
  <c r="X27" i="11" s="1"/>
  <c r="X37" i="11" s="1"/>
  <c r="X24" i="9"/>
  <c r="Y28" i="10" s="1"/>
  <c r="Y27" i="11" s="1"/>
  <c r="Y37" i="11" s="1"/>
  <c r="Y24" i="9"/>
  <c r="Z24" i="9"/>
  <c r="AA24" i="9"/>
  <c r="AB28" i="10" s="1"/>
  <c r="AB24" i="9"/>
  <c r="AC24" i="9"/>
  <c r="AD24" i="9"/>
  <c r="AE28" i="10" s="1"/>
  <c r="AE24" i="9"/>
  <c r="AF24" i="9"/>
  <c r="AG28" i="10" s="1"/>
  <c r="C25" i="9"/>
  <c r="D29" i="10" s="1"/>
  <c r="D25" i="9"/>
  <c r="E29" i="10" s="1"/>
  <c r="E25" i="9"/>
  <c r="F29" i="10" s="1"/>
  <c r="F25" i="9"/>
  <c r="G29" i="10" s="1"/>
  <c r="G25" i="9"/>
  <c r="H29" i="10" s="1"/>
  <c r="H52" i="10" s="1"/>
  <c r="H25" i="9"/>
  <c r="I29" i="10" s="1"/>
  <c r="I25" i="9"/>
  <c r="J29" i="10" s="1"/>
  <c r="J25" i="9"/>
  <c r="K29" i="10" s="1"/>
  <c r="K52" i="10" s="1"/>
  <c r="K25" i="9"/>
  <c r="L29" i="10" s="1"/>
  <c r="L52" i="10" s="1"/>
  <c r="L25" i="9"/>
  <c r="M29" i="10" s="1"/>
  <c r="M25" i="9"/>
  <c r="N29" i="10" s="1"/>
  <c r="N25" i="9"/>
  <c r="O29" i="10" s="1"/>
  <c r="O25" i="9"/>
  <c r="P29" i="10" s="1"/>
  <c r="P25" i="9"/>
  <c r="Q29" i="10" s="1"/>
  <c r="Q25" i="9"/>
  <c r="R29" i="10" s="1"/>
  <c r="R52" i="10" s="1"/>
  <c r="R25" i="9"/>
  <c r="S29" i="10" s="1"/>
  <c r="S25" i="9"/>
  <c r="T29" i="10" s="1"/>
  <c r="T25" i="9"/>
  <c r="U25" i="9"/>
  <c r="V25" i="9"/>
  <c r="W29" i="10" s="1"/>
  <c r="W25" i="9"/>
  <c r="X29" i="10" s="1"/>
  <c r="X52" i="10" s="1"/>
  <c r="X25" i="9"/>
  <c r="Y29" i="10" s="1"/>
  <c r="Y25" i="9"/>
  <c r="Z29" i="10" s="1"/>
  <c r="Z25" i="9"/>
  <c r="AA29" i="10" s="1"/>
  <c r="AA28" i="11" s="1"/>
  <c r="AA38" i="11" s="1"/>
  <c r="AA25" i="9"/>
  <c r="AB29" i="10" s="1"/>
  <c r="AB28" i="11" s="1"/>
  <c r="AB38" i="11" s="1"/>
  <c r="AB25" i="9"/>
  <c r="AC29" i="10" s="1"/>
  <c r="AC28" i="11" s="1"/>
  <c r="AC38" i="11" s="1"/>
  <c r="AC25" i="9"/>
  <c r="AD29" i="10" s="1"/>
  <c r="AD52" i="10" s="1"/>
  <c r="AD25" i="9"/>
  <c r="AE29" i="10" s="1"/>
  <c r="AE25" i="9"/>
  <c r="AF29" i="10" s="1"/>
  <c r="AF25" i="9"/>
  <c r="C26" i="9"/>
  <c r="D26" i="9"/>
  <c r="E26" i="9"/>
  <c r="F26" i="9"/>
  <c r="G30" i="10" s="1"/>
  <c r="G26" i="9"/>
  <c r="H26" i="9"/>
  <c r="I30" i="10" s="1"/>
  <c r="I26" i="9"/>
  <c r="J30" i="10" s="1"/>
  <c r="J26" i="9"/>
  <c r="K30" i="10" s="1"/>
  <c r="K26" i="9"/>
  <c r="L30" i="10" s="1"/>
  <c r="L53" i="10" s="1"/>
  <c r="L26" i="9"/>
  <c r="M30" i="10" s="1"/>
  <c r="M53" i="10" s="1"/>
  <c r="M26" i="9"/>
  <c r="N30" i="10" s="1"/>
  <c r="N53" i="10" s="1"/>
  <c r="N26" i="9"/>
  <c r="O30" i="10" s="1"/>
  <c r="O26" i="9"/>
  <c r="P30" i="10" s="1"/>
  <c r="P26" i="9"/>
  <c r="Q30" i="10" s="1"/>
  <c r="Q53" i="10" s="1"/>
  <c r="Q26" i="9"/>
  <c r="R30" i="10" s="1"/>
  <c r="R53" i="10" s="1"/>
  <c r="R26" i="9"/>
  <c r="S30" i="10" s="1"/>
  <c r="S26" i="9"/>
  <c r="T30" i="10" s="1"/>
  <c r="T26" i="9"/>
  <c r="U30" i="10" s="1"/>
  <c r="U26" i="9"/>
  <c r="V30" i="10" s="1"/>
  <c r="V26" i="9"/>
  <c r="W30" i="10" s="1"/>
  <c r="W26" i="9"/>
  <c r="X30" i="10" s="1"/>
  <c r="X26" i="9"/>
  <c r="Y30" i="10" s="1"/>
  <c r="Y26" i="9"/>
  <c r="Z30" i="10" s="1"/>
  <c r="Z53" i="10" s="1"/>
  <c r="Z26" i="9"/>
  <c r="AA26" i="9"/>
  <c r="AB26" i="9"/>
  <c r="AC30" i="10" s="1"/>
  <c r="AC26" i="9"/>
  <c r="AD30" i="10" s="1"/>
  <c r="AD26" i="9"/>
  <c r="AE30" i="10" s="1"/>
  <c r="AE26" i="9"/>
  <c r="AF30" i="10" s="1"/>
  <c r="AF29" i="11" s="1"/>
  <c r="AF39" i="11" s="1"/>
  <c r="AF26" i="9"/>
  <c r="AG30" i="10" s="1"/>
  <c r="AG29" i="11" s="1"/>
  <c r="AG39" i="11" s="1"/>
  <c r="C27" i="9"/>
  <c r="D31" i="10" s="1"/>
  <c r="D54" i="10" s="1"/>
  <c r="D27" i="9"/>
  <c r="E31" i="10" s="1"/>
  <c r="E54" i="10" s="1"/>
  <c r="E27" i="9"/>
  <c r="F27" i="9"/>
  <c r="G31" i="10" s="1"/>
  <c r="G54" i="10" s="1"/>
  <c r="G27" i="9"/>
  <c r="H31" i="10" s="1"/>
  <c r="H54" i="10" s="1"/>
  <c r="H27" i="9"/>
  <c r="I27" i="9"/>
  <c r="J27" i="9"/>
  <c r="K27" i="9"/>
  <c r="L31" i="10" s="1"/>
  <c r="L54" i="10" s="1"/>
  <c r="L27" i="9"/>
  <c r="M27" i="9"/>
  <c r="N31" i="10" s="1"/>
  <c r="N54" i="10" s="1"/>
  <c r="N27" i="9"/>
  <c r="O31" i="10" s="1"/>
  <c r="O54" i="10" s="1"/>
  <c r="O27" i="9"/>
  <c r="P31" i="10" s="1"/>
  <c r="P54" i="10" s="1"/>
  <c r="P27" i="9"/>
  <c r="Q31" i="10" s="1"/>
  <c r="Q54" i="10" s="1"/>
  <c r="Q27" i="9"/>
  <c r="R31" i="10" s="1"/>
  <c r="R54" i="10" s="1"/>
  <c r="R27" i="9"/>
  <c r="S31" i="10" s="1"/>
  <c r="S27" i="9"/>
  <c r="T31" i="10" s="1"/>
  <c r="T27" i="9"/>
  <c r="U31" i="10" s="1"/>
  <c r="U54" i="10" s="1"/>
  <c r="U27" i="9"/>
  <c r="V31" i="10" s="1"/>
  <c r="V54" i="10" s="1"/>
  <c r="V27" i="9"/>
  <c r="W27" i="9"/>
  <c r="X31" i="10" s="1"/>
  <c r="X54" i="10" s="1"/>
  <c r="X27" i="9"/>
  <c r="Y31" i="10" s="1"/>
  <c r="Y54" i="10" s="1"/>
  <c r="Y27" i="9"/>
  <c r="Z31" i="10" s="1"/>
  <c r="Z54" i="10" s="1"/>
  <c r="Z27" i="9"/>
  <c r="AA31" i="10" s="1"/>
  <c r="AA54" i="10" s="1"/>
  <c r="AA27" i="9"/>
  <c r="AB31" i="10" s="1"/>
  <c r="AB54" i="10" s="1"/>
  <c r="AB27" i="9"/>
  <c r="AC31" i="10" s="1"/>
  <c r="AC54" i="10" s="1"/>
  <c r="AC27" i="9"/>
  <c r="AD31" i="10" s="1"/>
  <c r="AD54" i="10" s="1"/>
  <c r="AD27" i="9"/>
  <c r="AE31" i="10" s="1"/>
  <c r="AE54" i="10" s="1"/>
  <c r="AE27" i="9"/>
  <c r="AF31" i="10" s="1"/>
  <c r="AF54" i="10" s="1"/>
  <c r="AF27" i="9"/>
  <c r="AG31" i="10" s="1"/>
  <c r="AG54" i="10" s="1"/>
  <c r="C28" i="9"/>
  <c r="D32" i="10" s="1"/>
  <c r="D55" i="10" s="1"/>
  <c r="D28" i="9"/>
  <c r="E32" i="10" s="1"/>
  <c r="E55" i="10" s="1"/>
  <c r="E28" i="9"/>
  <c r="F32" i="10" s="1"/>
  <c r="F55" i="10" s="1"/>
  <c r="F28" i="9"/>
  <c r="G32" i="10" s="1"/>
  <c r="G55" i="10" s="1"/>
  <c r="G28" i="9"/>
  <c r="H28" i="9"/>
  <c r="I32" i="10" s="1"/>
  <c r="I55" i="10" s="1"/>
  <c r="I28" i="9"/>
  <c r="J32" i="10" s="1"/>
  <c r="J55" i="10" s="1"/>
  <c r="J28" i="9"/>
  <c r="K32" i="10" s="1"/>
  <c r="K55" i="10" s="1"/>
  <c r="K28" i="9"/>
  <c r="L28" i="9"/>
  <c r="M32" i="10" s="1"/>
  <c r="M55" i="10" s="1"/>
  <c r="M28" i="9"/>
  <c r="N32" i="10" s="1"/>
  <c r="N55" i="10" s="1"/>
  <c r="N28" i="9"/>
  <c r="O28" i="9"/>
  <c r="P28" i="9"/>
  <c r="Q32" i="10" s="1"/>
  <c r="Q55" i="10" s="1"/>
  <c r="Q28" i="9"/>
  <c r="R32" i="10" s="1"/>
  <c r="R55" i="10" s="1"/>
  <c r="R28" i="9"/>
  <c r="S32" i="10" s="1"/>
  <c r="S55" i="10" s="1"/>
  <c r="S28" i="9"/>
  <c r="T32" i="10" s="1"/>
  <c r="T55" i="10" s="1"/>
  <c r="T28" i="9"/>
  <c r="U32" i="10" s="1"/>
  <c r="U55" i="10" s="1"/>
  <c r="U28" i="9"/>
  <c r="V32" i="10" s="1"/>
  <c r="V55" i="10" s="1"/>
  <c r="V28" i="9"/>
  <c r="W32" i="10" s="1"/>
  <c r="W55" i="10" s="1"/>
  <c r="W28" i="9"/>
  <c r="X28" i="9"/>
  <c r="Y32" i="10" s="1"/>
  <c r="Y55" i="10" s="1"/>
  <c r="Y28" i="9"/>
  <c r="Z32" i="10" s="1"/>
  <c r="Z28" i="9"/>
  <c r="AA28" i="9"/>
  <c r="AB28" i="9"/>
  <c r="AC32" i="10" s="1"/>
  <c r="AC55" i="10" s="1"/>
  <c r="AC28" i="9"/>
  <c r="AD32" i="10" s="1"/>
  <c r="AD55" i="10" s="1"/>
  <c r="AD28" i="9"/>
  <c r="AE32" i="10" s="1"/>
  <c r="AE55" i="10" s="1"/>
  <c r="AE28" i="9"/>
  <c r="AF32" i="10" s="1"/>
  <c r="AF28" i="9"/>
  <c r="AG32" i="10" s="1"/>
  <c r="AG55" i="10" s="1"/>
  <c r="C29" i="9"/>
  <c r="D33" i="10" s="1"/>
  <c r="D56" i="10" s="1"/>
  <c r="D29" i="9"/>
  <c r="E33" i="10" s="1"/>
  <c r="E56" i="10" s="1"/>
  <c r="E29" i="9"/>
  <c r="F33" i="10" s="1"/>
  <c r="F56" i="10" s="1"/>
  <c r="F29" i="9"/>
  <c r="G33" i="10" s="1"/>
  <c r="G56" i="10" s="1"/>
  <c r="G29" i="9"/>
  <c r="H33" i="10" s="1"/>
  <c r="H56" i="10" s="1"/>
  <c r="H29" i="9"/>
  <c r="I33" i="10" s="1"/>
  <c r="I56" i="10" s="1"/>
  <c r="I29" i="9"/>
  <c r="J33" i="10" s="1"/>
  <c r="J56" i="10" s="1"/>
  <c r="J29" i="9"/>
  <c r="K29" i="9"/>
  <c r="L29" i="9"/>
  <c r="M29" i="9"/>
  <c r="N29" i="9"/>
  <c r="O33" i="10" s="1"/>
  <c r="O56" i="10" s="1"/>
  <c r="O29" i="9"/>
  <c r="P33" i="10" s="1"/>
  <c r="P56" i="10" s="1"/>
  <c r="P29" i="9"/>
  <c r="Q33" i="10" s="1"/>
  <c r="Q56" i="10" s="1"/>
  <c r="Q29" i="9"/>
  <c r="R33" i="10" s="1"/>
  <c r="R56" i="10" s="1"/>
  <c r="R29" i="9"/>
  <c r="S33" i="10" s="1"/>
  <c r="S56" i="10" s="1"/>
  <c r="S29" i="9"/>
  <c r="T33" i="10" s="1"/>
  <c r="T56" i="10" s="1"/>
  <c r="T29" i="9"/>
  <c r="U33" i="10" s="1"/>
  <c r="U56" i="10" s="1"/>
  <c r="U29" i="9"/>
  <c r="V33" i="10" s="1"/>
  <c r="V56" i="10" s="1"/>
  <c r="V29" i="9"/>
  <c r="W33" i="10" s="1"/>
  <c r="W56" i="10" s="1"/>
  <c r="W29" i="9"/>
  <c r="X33" i="10" s="1"/>
  <c r="X56" i="10" s="1"/>
  <c r="X29" i="9"/>
  <c r="Y33" i="10" s="1"/>
  <c r="Y56" i="10" s="1"/>
  <c r="Y29" i="9"/>
  <c r="Z33" i="10" s="1"/>
  <c r="Z56" i="10" s="1"/>
  <c r="Z29" i="9"/>
  <c r="AA33" i="10" s="1"/>
  <c r="AA56" i="10" s="1"/>
  <c r="AA29" i="9"/>
  <c r="AB33" i="10" s="1"/>
  <c r="AB56" i="10" s="1"/>
  <c r="AB29" i="9"/>
  <c r="AC33" i="10" s="1"/>
  <c r="AC56" i="10" s="1"/>
  <c r="AC29" i="9"/>
  <c r="AD29" i="9"/>
  <c r="AE33" i="10" s="1"/>
  <c r="AE56" i="10" s="1"/>
  <c r="AE29" i="9"/>
  <c r="AF33" i="10" s="1"/>
  <c r="AF56" i="10" s="1"/>
  <c r="AF29" i="9"/>
  <c r="C30" i="9"/>
  <c r="D30" i="9"/>
  <c r="E34" i="10" s="1"/>
  <c r="E57" i="10" s="1"/>
  <c r="E30" i="9"/>
  <c r="F34" i="10" s="1"/>
  <c r="F57" i="10" s="1"/>
  <c r="F30" i="9"/>
  <c r="G34" i="10" s="1"/>
  <c r="G57" i="10" s="1"/>
  <c r="G30" i="9"/>
  <c r="H34" i="10" s="1"/>
  <c r="H57" i="10" s="1"/>
  <c r="H30" i="9"/>
  <c r="I34" i="10" s="1"/>
  <c r="I57" i="10" s="1"/>
  <c r="I30" i="9"/>
  <c r="J34" i="10" s="1"/>
  <c r="J57" i="10" s="1"/>
  <c r="J30" i="9"/>
  <c r="K34" i="10" s="1"/>
  <c r="K57" i="10" s="1"/>
  <c r="K30" i="9"/>
  <c r="L30" i="9"/>
  <c r="M34" i="10" s="1"/>
  <c r="M57" i="10" s="1"/>
  <c r="M30" i="9"/>
  <c r="N34" i="10" s="1"/>
  <c r="N57" i="10" s="1"/>
  <c r="N30" i="9"/>
  <c r="O30" i="9"/>
  <c r="P30" i="9"/>
  <c r="Q30" i="9"/>
  <c r="R34" i="10" s="1"/>
  <c r="R57" i="10" s="1"/>
  <c r="R30" i="9"/>
  <c r="S34" i="10" s="1"/>
  <c r="S57" i="10" s="1"/>
  <c r="S30" i="9"/>
  <c r="T34" i="10" s="1"/>
  <c r="T57" i="10" s="1"/>
  <c r="T30" i="9"/>
  <c r="U34" i="10" s="1"/>
  <c r="U57" i="10" s="1"/>
  <c r="U30" i="9"/>
  <c r="V34" i="10" s="1"/>
  <c r="V57" i="10" s="1"/>
  <c r="V30" i="9"/>
  <c r="W34" i="10" s="1"/>
  <c r="W57" i="10" s="1"/>
  <c r="W30" i="9"/>
  <c r="X34" i="10" s="1"/>
  <c r="X57" i="10" s="1"/>
  <c r="X30" i="9"/>
  <c r="Y34" i="10" s="1"/>
  <c r="Y57" i="10" s="1"/>
  <c r="Y30" i="9"/>
  <c r="Z34" i="10" s="1"/>
  <c r="Z57" i="10" s="1"/>
  <c r="Z30" i="9"/>
  <c r="AA34" i="10" s="1"/>
  <c r="AA57" i="10" s="1"/>
  <c r="AA30" i="9"/>
  <c r="AB34" i="10" s="1"/>
  <c r="AB57" i="10" s="1"/>
  <c r="AB30" i="9"/>
  <c r="AC34" i="10" s="1"/>
  <c r="AC57" i="10" s="1"/>
  <c r="AC30" i="9"/>
  <c r="AD34" i="10" s="1"/>
  <c r="AD57" i="10" s="1"/>
  <c r="AD30" i="9"/>
  <c r="AE34" i="10" s="1"/>
  <c r="AE57" i="10" s="1"/>
  <c r="AE30" i="9"/>
  <c r="AF34" i="10" s="1"/>
  <c r="AF57" i="10" s="1"/>
  <c r="AF30" i="9"/>
  <c r="AG34" i="10" s="1"/>
  <c r="AG57" i="10" s="1"/>
  <c r="C31" i="9"/>
  <c r="D35" i="10" s="1"/>
  <c r="D58" i="10" s="1"/>
  <c r="D31" i="9"/>
  <c r="E35" i="10" s="1"/>
  <c r="E58" i="10" s="1"/>
  <c r="E31" i="9"/>
  <c r="F35" i="10" s="1"/>
  <c r="F58" i="10" s="1"/>
  <c r="F31" i="9"/>
  <c r="G35" i="10" s="1"/>
  <c r="G58" i="10" s="1"/>
  <c r="G31" i="9"/>
  <c r="H35" i="10" s="1"/>
  <c r="H58" i="10" s="1"/>
  <c r="H31" i="9"/>
  <c r="I35" i="10" s="1"/>
  <c r="I58" i="10" s="1"/>
  <c r="I31" i="9"/>
  <c r="J35" i="10" s="1"/>
  <c r="J58" i="10" s="1"/>
  <c r="J31" i="9"/>
  <c r="K35" i="10" s="1"/>
  <c r="K58" i="10" s="1"/>
  <c r="K31" i="9"/>
  <c r="L35" i="10" s="1"/>
  <c r="L58" i="10" s="1"/>
  <c r="L31" i="9"/>
  <c r="M35" i="10" s="1"/>
  <c r="M58" i="10" s="1"/>
  <c r="M31" i="9"/>
  <c r="N31" i="9"/>
  <c r="O35" i="10" s="1"/>
  <c r="O58" i="10" s="1"/>
  <c r="O31" i="9"/>
  <c r="P35" i="10" s="1"/>
  <c r="P58" i="10" s="1"/>
  <c r="P31" i="9"/>
  <c r="Q35" i="10" s="1"/>
  <c r="Q58" i="10" s="1"/>
  <c r="Q31" i="9"/>
  <c r="R31" i="9"/>
  <c r="S35" i="10" s="1"/>
  <c r="S58" i="10" s="1"/>
  <c r="S31" i="9"/>
  <c r="T35" i="10" s="1"/>
  <c r="T58" i="10" s="1"/>
  <c r="T31" i="9"/>
  <c r="U31" i="9"/>
  <c r="V31" i="9"/>
  <c r="W35" i="10" s="1"/>
  <c r="W58" i="10" s="1"/>
  <c r="W31" i="9"/>
  <c r="X35" i="10" s="1"/>
  <c r="X58" i="10" s="1"/>
  <c r="X31" i="9"/>
  <c r="Y35" i="10" s="1"/>
  <c r="Y58" i="10" s="1"/>
  <c r="Y31" i="9"/>
  <c r="Z35" i="10" s="1"/>
  <c r="Z58" i="10" s="1"/>
  <c r="Z31" i="9"/>
  <c r="AA35" i="10" s="1"/>
  <c r="AA58" i="10" s="1"/>
  <c r="AA31" i="9"/>
  <c r="AB35" i="10" s="1"/>
  <c r="AB58" i="10" s="1"/>
  <c r="AB31" i="9"/>
  <c r="AC35" i="10" s="1"/>
  <c r="AC58" i="10" s="1"/>
  <c r="AC31" i="9"/>
  <c r="AD31" i="9"/>
  <c r="AE35" i="10" s="1"/>
  <c r="AE58" i="10" s="1"/>
  <c r="AE31" i="9"/>
  <c r="AF35" i="10" s="1"/>
  <c r="AF58" i="10" s="1"/>
  <c r="AF31" i="9"/>
  <c r="C32" i="9"/>
  <c r="D32" i="9"/>
  <c r="E36" i="10" s="1"/>
  <c r="E59" i="10" s="1"/>
  <c r="E32" i="9"/>
  <c r="F36" i="10" s="1"/>
  <c r="F59" i="10" s="1"/>
  <c r="F32" i="9"/>
  <c r="G36" i="10" s="1"/>
  <c r="G59" i="10" s="1"/>
  <c r="G32" i="9"/>
  <c r="H36" i="10" s="1"/>
  <c r="H59" i="10" s="1"/>
  <c r="H32" i="9"/>
  <c r="I36" i="10" s="1"/>
  <c r="I59" i="10" s="1"/>
  <c r="I32" i="9"/>
  <c r="J36" i="10" s="1"/>
  <c r="J59" i="10" s="1"/>
  <c r="J32" i="9"/>
  <c r="K36" i="10" s="1"/>
  <c r="K59" i="10" s="1"/>
  <c r="K32" i="9"/>
  <c r="L36" i="10" s="1"/>
  <c r="L59" i="10" s="1"/>
  <c r="L32" i="9"/>
  <c r="M36" i="10" s="1"/>
  <c r="M59" i="10" s="1"/>
  <c r="M32" i="9"/>
  <c r="N36" i="10" s="1"/>
  <c r="N59" i="10" s="1"/>
  <c r="N32" i="9"/>
  <c r="O36" i="10" s="1"/>
  <c r="O59" i="10" s="1"/>
  <c r="O32" i="9"/>
  <c r="P36" i="10" s="1"/>
  <c r="P59" i="10" s="1"/>
  <c r="P32" i="9"/>
  <c r="Q32" i="9"/>
  <c r="R32" i="9"/>
  <c r="S36" i="10" s="1"/>
  <c r="S59" i="10" s="1"/>
  <c r="S32" i="9"/>
  <c r="T32" i="9"/>
  <c r="U36" i="10" s="1"/>
  <c r="U59" i="10" s="1"/>
  <c r="U32" i="9"/>
  <c r="V36" i="10" s="1"/>
  <c r="V59" i="10" s="1"/>
  <c r="V32" i="9"/>
  <c r="W36" i="10" s="1"/>
  <c r="W59" i="10" s="1"/>
  <c r="W32" i="9"/>
  <c r="X36" i="10" s="1"/>
  <c r="X59" i="10" s="1"/>
  <c r="X32" i="9"/>
  <c r="Y36" i="10" s="1"/>
  <c r="Y59" i="10" s="1"/>
  <c r="Y32" i="9"/>
  <c r="Z36" i="10" s="1"/>
  <c r="Z59" i="10" s="1"/>
  <c r="Z32" i="9"/>
  <c r="AA36" i="10" s="1"/>
  <c r="AA59" i="10" s="1"/>
  <c r="AA32" i="9"/>
  <c r="AB36" i="10" s="1"/>
  <c r="AB59" i="10" s="1"/>
  <c r="AB32" i="9"/>
  <c r="AC36" i="10" s="1"/>
  <c r="AC59" i="10" s="1"/>
  <c r="AC32" i="9"/>
  <c r="AD36" i="10" s="1"/>
  <c r="AD59" i="10" s="1"/>
  <c r="AD32" i="9"/>
  <c r="AE36" i="10" s="1"/>
  <c r="AE59" i="10" s="1"/>
  <c r="AE32" i="9"/>
  <c r="AF36" i="10" s="1"/>
  <c r="AF59" i="10" s="1"/>
  <c r="AF32" i="9"/>
  <c r="AG36" i="10" s="1"/>
  <c r="AG59" i="10" s="1"/>
  <c r="C33" i="9"/>
  <c r="D37" i="10" s="1"/>
  <c r="D60" i="10" s="1"/>
  <c r="D33" i="9"/>
  <c r="E37" i="10" s="1"/>
  <c r="E60" i="10" s="1"/>
  <c r="E33" i="9"/>
  <c r="F33" i="9"/>
  <c r="G37" i="10" s="1"/>
  <c r="G60" i="10" s="1"/>
  <c r="G33" i="9"/>
  <c r="H37" i="10" s="1"/>
  <c r="H60" i="10" s="1"/>
  <c r="H33" i="9"/>
  <c r="I37" i="10" s="1"/>
  <c r="I60" i="10" s="1"/>
  <c r="I33" i="9"/>
  <c r="J37" i="10" s="1"/>
  <c r="J60" i="10" s="1"/>
  <c r="J33" i="9"/>
  <c r="K37" i="10" s="1"/>
  <c r="K60" i="10" s="1"/>
  <c r="K33" i="9"/>
  <c r="L37" i="10" s="1"/>
  <c r="L60" i="10" s="1"/>
  <c r="L33" i="9"/>
  <c r="M37" i="10" s="1"/>
  <c r="M60" i="10" s="1"/>
  <c r="M33" i="9"/>
  <c r="N37" i="10" s="1"/>
  <c r="N60" i="10" s="1"/>
  <c r="N33" i="9"/>
  <c r="O37" i="10" s="1"/>
  <c r="O60" i="10" s="1"/>
  <c r="O33" i="9"/>
  <c r="P37" i="10" s="1"/>
  <c r="P60" i="10" s="1"/>
  <c r="P33" i="9"/>
  <c r="Q37" i="10" s="1"/>
  <c r="Q60" i="10" s="1"/>
  <c r="Q33" i="9"/>
  <c r="R33" i="9"/>
  <c r="S37" i="10" s="1"/>
  <c r="S60" i="10" s="1"/>
  <c r="S33" i="9"/>
  <c r="T37" i="10" s="1"/>
  <c r="T60" i="10" s="1"/>
  <c r="T33" i="9"/>
  <c r="U33" i="9"/>
  <c r="V33" i="9"/>
  <c r="W37" i="10" s="1"/>
  <c r="W60" i="10" s="1"/>
  <c r="W33" i="9"/>
  <c r="X37" i="10" s="1"/>
  <c r="X60" i="10" s="1"/>
  <c r="X33" i="9"/>
  <c r="Y37" i="10" s="1"/>
  <c r="Y60" i="10" s="1"/>
  <c r="Y33" i="9"/>
  <c r="Z37" i="10" s="1"/>
  <c r="Z33" i="9"/>
  <c r="AA37" i="10" s="1"/>
  <c r="AA60" i="10" s="1"/>
  <c r="AA33" i="9"/>
  <c r="AB37" i="10" s="1"/>
  <c r="AB60" i="10" s="1"/>
  <c r="AB33" i="9"/>
  <c r="AC37" i="10" s="1"/>
  <c r="AC60" i="10" s="1"/>
  <c r="AC33" i="9"/>
  <c r="AD33" i="9"/>
  <c r="AE37" i="10" s="1"/>
  <c r="AE60" i="10" s="1"/>
  <c r="AE33" i="9"/>
  <c r="AF37" i="10" s="1"/>
  <c r="AF60" i="10" s="1"/>
  <c r="AF33" i="9"/>
  <c r="C34" i="9"/>
  <c r="D34" i="9"/>
  <c r="E38" i="10" s="1"/>
  <c r="E61" i="10" s="1"/>
  <c r="E34" i="9"/>
  <c r="F38" i="10" s="1"/>
  <c r="F61" i="10" s="1"/>
  <c r="F34" i="9"/>
  <c r="G38" i="10" s="1"/>
  <c r="G61" i="10" s="1"/>
  <c r="G34" i="9"/>
  <c r="H38" i="10" s="1"/>
  <c r="H61" i="10" s="1"/>
  <c r="H34" i="9"/>
  <c r="I38" i="10" s="1"/>
  <c r="I61" i="10" s="1"/>
  <c r="I34" i="9"/>
  <c r="J38" i="10" s="1"/>
  <c r="J61" i="10" s="1"/>
  <c r="J34" i="9"/>
  <c r="K38" i="10" s="1"/>
  <c r="K61" i="10" s="1"/>
  <c r="K34" i="9"/>
  <c r="L38" i="10" s="1"/>
  <c r="L61" i="10" s="1"/>
  <c r="L34" i="9"/>
  <c r="M38" i="10" s="1"/>
  <c r="M61" i="10" s="1"/>
  <c r="M34" i="9"/>
  <c r="N38" i="10" s="1"/>
  <c r="N61" i="10" s="1"/>
  <c r="N34" i="9"/>
  <c r="O34" i="9"/>
  <c r="P34" i="9"/>
  <c r="Q34" i="9"/>
  <c r="R34" i="9"/>
  <c r="S38" i="10" s="1"/>
  <c r="S61" i="10" s="1"/>
  <c r="S34" i="9"/>
  <c r="T34" i="9"/>
  <c r="U38" i="10" s="1"/>
  <c r="U61" i="10" s="1"/>
  <c r="U34" i="9"/>
  <c r="V38" i="10" s="1"/>
  <c r="V61" i="10" s="1"/>
  <c r="V34" i="9"/>
  <c r="W38" i="10" s="1"/>
  <c r="W61" i="10" s="1"/>
  <c r="W34" i="9"/>
  <c r="X38" i="10" s="1"/>
  <c r="X61" i="10" s="1"/>
  <c r="X34" i="9"/>
  <c r="Y38" i="10" s="1"/>
  <c r="Y61" i="10" s="1"/>
  <c r="Y34" i="9"/>
  <c r="Z38" i="10" s="1"/>
  <c r="Z61" i="10" s="1"/>
  <c r="Z34" i="9"/>
  <c r="AA38" i="10" s="1"/>
  <c r="AA61" i="10" s="1"/>
  <c r="AA34" i="9"/>
  <c r="AB38" i="10" s="1"/>
  <c r="AB61" i="10" s="1"/>
  <c r="AB34" i="9"/>
  <c r="AC38" i="10" s="1"/>
  <c r="AC61" i="10" s="1"/>
  <c r="AC34" i="9"/>
  <c r="AD38" i="10" s="1"/>
  <c r="AD61" i="10" s="1"/>
  <c r="AD34" i="9"/>
  <c r="AE38" i="10" s="1"/>
  <c r="AE61" i="10" s="1"/>
  <c r="AE34" i="9"/>
  <c r="AF38" i="10" s="1"/>
  <c r="AF61" i="10" s="1"/>
  <c r="AF34" i="9"/>
  <c r="AG38" i="10" s="1"/>
  <c r="AG61" i="10" s="1"/>
  <c r="C35" i="9"/>
  <c r="D39" i="10" s="1"/>
  <c r="D62" i="10" s="1"/>
  <c r="D35" i="9"/>
  <c r="E39" i="10" s="1"/>
  <c r="E62" i="10" s="1"/>
  <c r="E35" i="9"/>
  <c r="F39" i="10" s="1"/>
  <c r="F62" i="10" s="1"/>
  <c r="F35" i="9"/>
  <c r="G39" i="10" s="1"/>
  <c r="G62" i="10" s="1"/>
  <c r="G35" i="9"/>
  <c r="H39" i="10" s="1"/>
  <c r="H62" i="10" s="1"/>
  <c r="H35" i="9"/>
  <c r="I39" i="10" s="1"/>
  <c r="I62" i="10" s="1"/>
  <c r="I35" i="9"/>
  <c r="J39" i="10" s="1"/>
  <c r="J62" i="10" s="1"/>
  <c r="J35" i="9"/>
  <c r="K39" i="10" s="1"/>
  <c r="K62" i="10" s="1"/>
  <c r="K35" i="9"/>
  <c r="L39" i="10" s="1"/>
  <c r="L62" i="10" s="1"/>
  <c r="L35" i="9"/>
  <c r="M39" i="10" s="1"/>
  <c r="M62" i="10" s="1"/>
  <c r="M35" i="9"/>
  <c r="N35" i="9"/>
  <c r="O39" i="10" s="1"/>
  <c r="O62" i="10" s="1"/>
  <c r="O35" i="9"/>
  <c r="P39" i="10" s="1"/>
  <c r="P62" i="10" s="1"/>
  <c r="P35" i="9"/>
  <c r="Q39" i="10" s="1"/>
  <c r="Q62" i="10" s="1"/>
  <c r="Q35" i="9"/>
  <c r="R35" i="9"/>
  <c r="S39" i="10" s="1"/>
  <c r="S62" i="10" s="1"/>
  <c r="S35" i="9"/>
  <c r="T39" i="10" s="1"/>
  <c r="T62" i="10" s="1"/>
  <c r="T35" i="9"/>
  <c r="U39" i="10" s="1"/>
  <c r="U62" i="10" s="1"/>
  <c r="U35" i="9"/>
  <c r="V39" i="10" s="1"/>
  <c r="V62" i="10" s="1"/>
  <c r="V35" i="9"/>
  <c r="W39" i="10" s="1"/>
  <c r="W62" i="10" s="1"/>
  <c r="W35" i="9"/>
  <c r="X39" i="10" s="1"/>
  <c r="X62" i="10" s="1"/>
  <c r="X35" i="9"/>
  <c r="Y39" i="10" s="1"/>
  <c r="Y62" i="10" s="1"/>
  <c r="Y35" i="9"/>
  <c r="Z39" i="10" s="1"/>
  <c r="Z62" i="10" s="1"/>
  <c r="Z35" i="9"/>
  <c r="AA39" i="10" s="1"/>
  <c r="AA62" i="10" s="1"/>
  <c r="AA35" i="9"/>
  <c r="AB39" i="10" s="1"/>
  <c r="AB62" i="10" s="1"/>
  <c r="AB35" i="9"/>
  <c r="AC39" i="10" s="1"/>
  <c r="AC62" i="10" s="1"/>
  <c r="AC35" i="9"/>
  <c r="AD35" i="9"/>
  <c r="AE39" i="10" s="1"/>
  <c r="AE62" i="10" s="1"/>
  <c r="AE35" i="9"/>
  <c r="AF39" i="10" s="1"/>
  <c r="AF62" i="10" s="1"/>
  <c r="AF35" i="9"/>
  <c r="C36" i="9"/>
  <c r="D40" i="10" s="1"/>
  <c r="D63" i="10" s="1"/>
  <c r="D36" i="9"/>
  <c r="E40" i="10" s="1"/>
  <c r="E63" i="10" s="1"/>
  <c r="E36" i="9"/>
  <c r="F40" i="10" s="1"/>
  <c r="F63" i="10" s="1"/>
  <c r="F36" i="9"/>
  <c r="G40" i="10" s="1"/>
  <c r="G63" i="10" s="1"/>
  <c r="G36" i="9"/>
  <c r="H40" i="10" s="1"/>
  <c r="H36" i="9"/>
  <c r="I40" i="10" s="1"/>
  <c r="I63" i="10" s="1"/>
  <c r="I36" i="9"/>
  <c r="J40" i="10" s="1"/>
  <c r="J63" i="10" s="1"/>
  <c r="J36" i="9"/>
  <c r="K40" i="10" s="1"/>
  <c r="K63" i="10" s="1"/>
  <c r="K36" i="9"/>
  <c r="L36" i="9"/>
  <c r="M40" i="10" s="1"/>
  <c r="M63" i="10" s="1"/>
  <c r="M36" i="9"/>
  <c r="N36" i="9"/>
  <c r="O36" i="9"/>
  <c r="P36" i="9"/>
  <c r="Q40" i="10" s="1"/>
  <c r="Q63" i="10" s="1"/>
  <c r="Q36" i="9"/>
  <c r="R40" i="10" s="1"/>
  <c r="R63" i="10" s="1"/>
  <c r="R36" i="9"/>
  <c r="S40" i="10" s="1"/>
  <c r="S63" i="10" s="1"/>
  <c r="S36" i="9"/>
  <c r="T40" i="10" s="1"/>
  <c r="T63" i="10" s="1"/>
  <c r="T36" i="9"/>
  <c r="U40" i="10" s="1"/>
  <c r="U63" i="10" s="1"/>
  <c r="U36" i="9"/>
  <c r="V40" i="10" s="1"/>
  <c r="V63" i="10" s="1"/>
  <c r="V36" i="9"/>
  <c r="W40" i="10" s="1"/>
  <c r="W63" i="10" s="1"/>
  <c r="W36" i="9"/>
  <c r="X36" i="9"/>
  <c r="Y40" i="10" s="1"/>
  <c r="Y63" i="10" s="1"/>
  <c r="Y36" i="9"/>
  <c r="Z40" i="10" s="1"/>
  <c r="Z63" i="10" s="1"/>
  <c r="Z36" i="9"/>
  <c r="AA36" i="9"/>
  <c r="AB36" i="9"/>
  <c r="AC40" i="10" s="1"/>
  <c r="AC63" i="10" s="1"/>
  <c r="AC36" i="9"/>
  <c r="AD40" i="10" s="1"/>
  <c r="AD63" i="10" s="1"/>
  <c r="AD36" i="9"/>
  <c r="AE40" i="10" s="1"/>
  <c r="AE63" i="10" s="1"/>
  <c r="AE36" i="9"/>
  <c r="AF40" i="10" s="1"/>
  <c r="AF63" i="10" s="1"/>
  <c r="AF36" i="9"/>
  <c r="AG40" i="10" s="1"/>
  <c r="AG63" i="10" s="1"/>
  <c r="C37" i="9"/>
  <c r="D41" i="10" s="1"/>
  <c r="D64" i="10" s="1"/>
  <c r="D37" i="9"/>
  <c r="E41" i="10" s="1"/>
  <c r="E64" i="10" s="1"/>
  <c r="E37" i="9"/>
  <c r="F37" i="9"/>
  <c r="G41" i="10" s="1"/>
  <c r="G64" i="10" s="1"/>
  <c r="G37" i="9"/>
  <c r="H37" i="9"/>
  <c r="I37" i="9"/>
  <c r="J37" i="9"/>
  <c r="K41" i="10" s="1"/>
  <c r="K64" i="10" s="1"/>
  <c r="K37" i="9"/>
  <c r="L41" i="10" s="1"/>
  <c r="L64" i="10" s="1"/>
  <c r="L37" i="9"/>
  <c r="M41" i="10" s="1"/>
  <c r="M64" i="10" s="1"/>
  <c r="M37" i="9"/>
  <c r="N41" i="10" s="1"/>
  <c r="N64" i="10" s="1"/>
  <c r="N37" i="9"/>
  <c r="O41" i="10" s="1"/>
  <c r="O64" i="10" s="1"/>
  <c r="O37" i="9"/>
  <c r="P41" i="10" s="1"/>
  <c r="P64" i="10" s="1"/>
  <c r="P37" i="9"/>
  <c r="Q41" i="10" s="1"/>
  <c r="Q64" i="10" s="1"/>
  <c r="Q37" i="9"/>
  <c r="R37" i="9"/>
  <c r="S41" i="10" s="1"/>
  <c r="S64" i="10" s="1"/>
  <c r="S37" i="9"/>
  <c r="T41" i="10" s="1"/>
  <c r="T64" i="10" s="1"/>
  <c r="T37" i="9"/>
  <c r="U37" i="9"/>
  <c r="V37" i="9"/>
  <c r="W41" i="10" s="1"/>
  <c r="W64" i="10" s="1"/>
  <c r="W37" i="9"/>
  <c r="X41" i="10" s="1"/>
  <c r="X64" i="10" s="1"/>
  <c r="X37" i="9"/>
  <c r="Y41" i="10" s="1"/>
  <c r="Y64" i="10" s="1"/>
  <c r="Y37" i="9"/>
  <c r="Z41" i="10" s="1"/>
  <c r="Z64" i="10" s="1"/>
  <c r="Z37" i="9"/>
  <c r="AA41" i="10" s="1"/>
  <c r="AA64" i="10" s="1"/>
  <c r="AA37" i="9"/>
  <c r="AB41" i="10" s="1"/>
  <c r="AB64" i="10" s="1"/>
  <c r="AB37" i="9"/>
  <c r="AC41" i="10" s="1"/>
  <c r="AC64" i="10" s="1"/>
  <c r="AC37" i="9"/>
  <c r="AD37" i="9"/>
  <c r="AE41" i="10" s="1"/>
  <c r="AE64" i="10" s="1"/>
  <c r="AE37" i="9"/>
  <c r="AF37" i="9"/>
  <c r="C38" i="9"/>
  <c r="D38" i="9"/>
  <c r="E42" i="10" s="1"/>
  <c r="E38" i="9"/>
  <c r="F42" i="10" s="1"/>
  <c r="F38" i="9"/>
  <c r="G42" i="10" s="1"/>
  <c r="G38" i="9"/>
  <c r="H42" i="10" s="1"/>
  <c r="H38" i="9"/>
  <c r="I42" i="10" s="1"/>
  <c r="I38" i="9"/>
  <c r="J42" i="10" s="1"/>
  <c r="J38" i="9"/>
  <c r="K42" i="10" s="1"/>
  <c r="K38" i="9"/>
  <c r="L38" i="9"/>
  <c r="M42" i="10" s="1"/>
  <c r="M38" i="9"/>
  <c r="N42" i="10" s="1"/>
  <c r="N38" i="9"/>
  <c r="O38" i="9"/>
  <c r="P38" i="9"/>
  <c r="Q42" i="10" s="1"/>
  <c r="Q38" i="9"/>
  <c r="R42" i="10" s="1"/>
  <c r="R38" i="9"/>
  <c r="S42" i="10" s="1"/>
  <c r="S38" i="9"/>
  <c r="T42" i="10" s="1"/>
  <c r="T38" i="9"/>
  <c r="U42" i="10" s="1"/>
  <c r="U38" i="9"/>
  <c r="V42" i="10" s="1"/>
  <c r="V38" i="9"/>
  <c r="W42" i="10" s="1"/>
  <c r="W38" i="9"/>
  <c r="X38" i="9"/>
  <c r="Y42" i="10" s="1"/>
  <c r="Y38" i="9"/>
  <c r="Z38" i="9"/>
  <c r="AA38" i="9"/>
  <c r="AB38" i="9"/>
  <c r="AC42" i="10" s="1"/>
  <c r="AC38" i="9"/>
  <c r="AD42" i="10" s="1"/>
  <c r="AD38" i="9"/>
  <c r="AE42" i="10" s="1"/>
  <c r="AE38" i="9"/>
  <c r="AF42" i="10" s="1"/>
  <c r="AF38" i="9"/>
  <c r="AG42" i="10" s="1"/>
  <c r="B21" i="9"/>
  <c r="C25" i="10" s="1"/>
  <c r="B22" i="9"/>
  <c r="C26" i="10" s="1"/>
  <c r="B23" i="9"/>
  <c r="B24" i="9"/>
  <c r="C28" i="10" s="1"/>
  <c r="B25" i="9"/>
  <c r="C29" i="10" s="1"/>
  <c r="B26" i="9"/>
  <c r="B27" i="9"/>
  <c r="B28" i="9"/>
  <c r="C32" i="10" s="1"/>
  <c r="C55" i="10" s="1"/>
  <c r="B29" i="9"/>
  <c r="C33" i="10" s="1"/>
  <c r="C56" i="10" s="1"/>
  <c r="B30" i="9"/>
  <c r="C34" i="10" s="1"/>
  <c r="C57" i="10" s="1"/>
  <c r="B31" i="9"/>
  <c r="C35" i="10" s="1"/>
  <c r="C58" i="10" s="1"/>
  <c r="B32" i="9"/>
  <c r="C36" i="10" s="1"/>
  <c r="C59" i="10" s="1"/>
  <c r="B33" i="9"/>
  <c r="C37" i="10" s="1"/>
  <c r="C60" i="10" s="1"/>
  <c r="B34" i="9"/>
  <c r="C38" i="10" s="1"/>
  <c r="C61" i="10" s="1"/>
  <c r="B35" i="9"/>
  <c r="B36" i="9"/>
  <c r="C40" i="10" s="1"/>
  <c r="C63" i="10" s="1"/>
  <c r="B37" i="9"/>
  <c r="B38" i="9"/>
  <c r="B20" i="9"/>
  <c r="A23" i="11"/>
  <c r="I17" i="11"/>
  <c r="AE16" i="11"/>
  <c r="AE17" i="11" s="1"/>
  <c r="AD16" i="11"/>
  <c r="AD17" i="11" s="1"/>
  <c r="AC16" i="11"/>
  <c r="AC17" i="11" s="1"/>
  <c r="AB16" i="11"/>
  <c r="AB17" i="11" s="1"/>
  <c r="AA16" i="11"/>
  <c r="AA17" i="11" s="1"/>
  <c r="Z16" i="11"/>
  <c r="Z17" i="11" s="1"/>
  <c r="Y16" i="11"/>
  <c r="Y17" i="11" s="1"/>
  <c r="X16" i="11"/>
  <c r="X17" i="11" s="1"/>
  <c r="W16" i="11"/>
  <c r="W17" i="11" s="1"/>
  <c r="V16" i="11"/>
  <c r="V17" i="11" s="1"/>
  <c r="U16" i="11"/>
  <c r="U17" i="11" s="1"/>
  <c r="T16" i="11"/>
  <c r="T17" i="11" s="1"/>
  <c r="S16" i="11"/>
  <c r="S17" i="11" s="1"/>
  <c r="R16" i="11"/>
  <c r="R17" i="11" s="1"/>
  <c r="Q16" i="11"/>
  <c r="Q17" i="11" s="1"/>
  <c r="P16" i="11"/>
  <c r="P17" i="11" s="1"/>
  <c r="O16" i="11"/>
  <c r="O17" i="11" s="1"/>
  <c r="N16" i="11"/>
  <c r="N17" i="11" s="1"/>
  <c r="M16" i="11"/>
  <c r="M17" i="11" s="1"/>
  <c r="L16" i="11"/>
  <c r="L17" i="11" s="1"/>
  <c r="K16" i="11"/>
  <c r="K17" i="11" s="1"/>
  <c r="J16" i="11"/>
  <c r="J17" i="11" s="1"/>
  <c r="I16" i="11"/>
  <c r="H16" i="11"/>
  <c r="H17" i="11" s="1"/>
  <c r="G16" i="11"/>
  <c r="G17" i="11" s="1"/>
  <c r="F16" i="11"/>
  <c r="F17" i="11" s="1"/>
  <c r="E16" i="11"/>
  <c r="E17" i="11" s="1"/>
  <c r="D16" i="11"/>
  <c r="D17" i="11" s="1"/>
  <c r="C16" i="11"/>
  <c r="C17" i="11" s="1"/>
  <c r="AE14" i="11"/>
  <c r="AE15" i="11" s="1"/>
  <c r="AD14" i="11"/>
  <c r="AD15" i="11" s="1"/>
  <c r="AC14" i="11"/>
  <c r="AC15" i="11" s="1"/>
  <c r="AB14" i="11"/>
  <c r="AB15" i="11" s="1"/>
  <c r="AA14" i="11"/>
  <c r="AA15" i="11" s="1"/>
  <c r="Z14" i="11"/>
  <c r="Z15" i="11" s="1"/>
  <c r="Y14" i="11"/>
  <c r="Y15" i="11" s="1"/>
  <c r="X14" i="11"/>
  <c r="X15" i="11" s="1"/>
  <c r="W14" i="11"/>
  <c r="W15" i="11" s="1"/>
  <c r="V14" i="11"/>
  <c r="V15" i="11" s="1"/>
  <c r="U14" i="11"/>
  <c r="U15" i="11" s="1"/>
  <c r="T14" i="11"/>
  <c r="T15" i="11" s="1"/>
  <c r="S14" i="11"/>
  <c r="S15" i="11" s="1"/>
  <c r="R14" i="11"/>
  <c r="R15" i="11" s="1"/>
  <c r="Q14" i="11"/>
  <c r="Q15" i="11" s="1"/>
  <c r="P14" i="11"/>
  <c r="P15" i="11" s="1"/>
  <c r="O14" i="11"/>
  <c r="O15" i="11" s="1"/>
  <c r="N14" i="11"/>
  <c r="N15" i="11" s="1"/>
  <c r="M14" i="11"/>
  <c r="M15" i="11" s="1"/>
  <c r="L14" i="11"/>
  <c r="L15" i="11" s="1"/>
  <c r="K14" i="11"/>
  <c r="K15" i="11" s="1"/>
  <c r="J14" i="11"/>
  <c r="J15" i="11" s="1"/>
  <c r="I14" i="11"/>
  <c r="I15" i="11" s="1"/>
  <c r="H14" i="11"/>
  <c r="H15" i="11" s="1"/>
  <c r="G14" i="11"/>
  <c r="G15" i="11" s="1"/>
  <c r="F14" i="11"/>
  <c r="F15" i="11" s="1"/>
  <c r="E14" i="11"/>
  <c r="E15" i="11" s="1"/>
  <c r="D14" i="11"/>
  <c r="D15" i="11" s="1"/>
  <c r="C14" i="11"/>
  <c r="C15" i="11" s="1"/>
  <c r="B14" i="11"/>
  <c r="B15" i="11" s="1"/>
  <c r="AE13" i="11"/>
  <c r="AD13" i="11"/>
  <c r="AC13" i="11"/>
  <c r="AB13" i="11"/>
  <c r="AA13" i="11"/>
  <c r="Z13" i="11"/>
  <c r="Y13" i="11"/>
  <c r="X13" i="11"/>
  <c r="W13" i="11"/>
  <c r="V13" i="11"/>
  <c r="U13" i="11"/>
  <c r="T13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C13" i="11"/>
  <c r="B13" i="11"/>
  <c r="A11" i="11"/>
  <c r="A9" i="11"/>
  <c r="A8" i="11"/>
  <c r="A7" i="11"/>
  <c r="A6" i="11"/>
  <c r="A5" i="11"/>
  <c r="A4" i="11"/>
  <c r="A3" i="11"/>
  <c r="A1" i="11"/>
  <c r="A1" i="2"/>
  <c r="A3" i="2"/>
  <c r="A4" i="2"/>
  <c r="A5" i="2"/>
  <c r="A6" i="2"/>
  <c r="A7" i="2"/>
  <c r="A8" i="2"/>
  <c r="A9" i="2"/>
  <c r="A11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B14" i="2"/>
  <c r="C14" i="2"/>
  <c r="D14" i="2"/>
  <c r="E14" i="2"/>
  <c r="E15" i="2" s="1"/>
  <c r="F14" i="2"/>
  <c r="F15" i="2" s="1"/>
  <c r="G14" i="2"/>
  <c r="G15" i="2" s="1"/>
  <c r="H14" i="2"/>
  <c r="H15" i="2" s="1"/>
  <c r="I14" i="2"/>
  <c r="I15" i="2" s="1"/>
  <c r="J14" i="2"/>
  <c r="J15" i="2" s="1"/>
  <c r="K14" i="2"/>
  <c r="L14" i="2"/>
  <c r="M14" i="2"/>
  <c r="N14" i="2"/>
  <c r="O14" i="2"/>
  <c r="P14" i="2"/>
  <c r="Q14" i="2"/>
  <c r="Q15" i="2" s="1"/>
  <c r="R14" i="2"/>
  <c r="R15" i="2" s="1"/>
  <c r="S14" i="2"/>
  <c r="S15" i="2" s="1"/>
  <c r="T14" i="2"/>
  <c r="T15" i="2" s="1"/>
  <c r="U14" i="2"/>
  <c r="U15" i="2" s="1"/>
  <c r="V14" i="2"/>
  <c r="V15" i="2" s="1"/>
  <c r="W14" i="2"/>
  <c r="X14" i="2"/>
  <c r="Y14" i="2"/>
  <c r="Z14" i="2"/>
  <c r="AA14" i="2"/>
  <c r="AB14" i="2"/>
  <c r="AC14" i="2"/>
  <c r="AC15" i="2" s="1"/>
  <c r="AD14" i="2"/>
  <c r="AD15" i="2" s="1"/>
  <c r="AE14" i="2"/>
  <c r="AE15" i="2" s="1"/>
  <c r="B15" i="2"/>
  <c r="C15" i="2"/>
  <c r="D15" i="2"/>
  <c r="K15" i="2"/>
  <c r="L15" i="2"/>
  <c r="M15" i="2"/>
  <c r="N15" i="2"/>
  <c r="O15" i="2"/>
  <c r="P15" i="2"/>
  <c r="W15" i="2"/>
  <c r="X15" i="2"/>
  <c r="Y15" i="2"/>
  <c r="Z15" i="2"/>
  <c r="AA15" i="2"/>
  <c r="AB15" i="2"/>
  <c r="C16" i="2"/>
  <c r="D16" i="2"/>
  <c r="E16" i="2"/>
  <c r="F16" i="2"/>
  <c r="G16" i="2"/>
  <c r="G17" i="2" s="1"/>
  <c r="H16" i="2"/>
  <c r="H17" i="2" s="1"/>
  <c r="I16" i="2"/>
  <c r="I17" i="2" s="1"/>
  <c r="J16" i="2"/>
  <c r="J17" i="2" s="1"/>
  <c r="K16" i="2"/>
  <c r="K17" i="2" s="1"/>
  <c r="L16" i="2"/>
  <c r="L17" i="2" s="1"/>
  <c r="M16" i="2"/>
  <c r="N16" i="2"/>
  <c r="O16" i="2"/>
  <c r="P16" i="2"/>
  <c r="Q16" i="2"/>
  <c r="R16" i="2"/>
  <c r="S16" i="2"/>
  <c r="S17" i="2" s="1"/>
  <c r="T16" i="2"/>
  <c r="T17" i="2" s="1"/>
  <c r="U16" i="2"/>
  <c r="U17" i="2" s="1"/>
  <c r="V16" i="2"/>
  <c r="V17" i="2" s="1"/>
  <c r="W16" i="2"/>
  <c r="W17" i="2" s="1"/>
  <c r="X16" i="2"/>
  <c r="X17" i="2" s="1"/>
  <c r="Y16" i="2"/>
  <c r="Z16" i="2"/>
  <c r="AA16" i="2"/>
  <c r="AB16" i="2"/>
  <c r="AC16" i="2"/>
  <c r="AD16" i="2"/>
  <c r="AE16" i="2"/>
  <c r="AE17" i="2" s="1"/>
  <c r="C17" i="2"/>
  <c r="D17" i="2"/>
  <c r="E17" i="2"/>
  <c r="F17" i="2"/>
  <c r="M17" i="2"/>
  <c r="N17" i="2"/>
  <c r="O17" i="2"/>
  <c r="P17" i="2"/>
  <c r="Q17" i="2"/>
  <c r="R17" i="2"/>
  <c r="Y17" i="2"/>
  <c r="Z17" i="2"/>
  <c r="AA17" i="2"/>
  <c r="AB17" i="2"/>
  <c r="AC17" i="2"/>
  <c r="AD17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23" i="2"/>
  <c r="D35" i="2"/>
  <c r="E35" i="2"/>
  <c r="F35" i="2"/>
  <c r="G35" i="2"/>
  <c r="I35" i="2"/>
  <c r="I38" i="2" s="1"/>
  <c r="K35" i="2"/>
  <c r="K38" i="2" s="1"/>
  <c r="L35" i="2"/>
  <c r="L38" i="2" s="1"/>
  <c r="M35" i="2"/>
  <c r="M38" i="2" s="1"/>
  <c r="N35" i="2"/>
  <c r="O35" i="2"/>
  <c r="P35" i="2"/>
  <c r="Q35" i="2"/>
  <c r="S35" i="2"/>
  <c r="T35" i="2"/>
  <c r="U35" i="2"/>
  <c r="U38" i="2" s="1"/>
  <c r="V35" i="2"/>
  <c r="V38" i="2" s="1"/>
  <c r="X35" i="2"/>
  <c r="X38" i="2" s="1"/>
  <c r="Y35" i="2"/>
  <c r="Y38" i="2" s="1"/>
  <c r="Z35" i="2"/>
  <c r="Z38" i="2" s="1"/>
  <c r="AA35" i="2"/>
  <c r="AB35" i="2"/>
  <c r="AC35" i="2"/>
  <c r="AD35" i="2"/>
  <c r="AE35" i="2"/>
  <c r="J37" i="2"/>
  <c r="D38" i="2"/>
  <c r="E38" i="2"/>
  <c r="F38" i="2"/>
  <c r="G38" i="2"/>
  <c r="H38" i="2"/>
  <c r="J38" i="2"/>
  <c r="N38" i="2"/>
  <c r="O38" i="2"/>
  <c r="P38" i="2"/>
  <c r="Q38" i="2"/>
  <c r="R38" i="2"/>
  <c r="S38" i="2"/>
  <c r="T38" i="2"/>
  <c r="W38" i="2"/>
  <c r="AA38" i="2"/>
  <c r="AB38" i="2"/>
  <c r="AC38" i="2"/>
  <c r="AD38" i="2"/>
  <c r="AE38" i="2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B14" i="10"/>
  <c r="B15" i="10" s="1"/>
  <c r="B13" i="10"/>
  <c r="A9" i="10"/>
  <c r="A8" i="10"/>
  <c r="A7" i="10"/>
  <c r="A6" i="10"/>
  <c r="A5" i="10"/>
  <c r="A4" i="10"/>
  <c r="A3" i="10"/>
  <c r="A1" i="10"/>
  <c r="O46" i="7"/>
  <c r="I46" i="7"/>
  <c r="C28" i="11" l="1"/>
  <c r="C38" i="11" s="1"/>
  <c r="C52" i="10"/>
  <c r="AD49" i="10"/>
  <c r="AD25" i="11"/>
  <c r="AD35" i="11" s="1"/>
  <c r="AC25" i="11"/>
  <c r="AC35" i="11" s="1"/>
  <c r="AC49" i="10"/>
  <c r="C27" i="11"/>
  <c r="C37" i="11" s="1"/>
  <c r="C51" i="10"/>
  <c r="C49" i="10"/>
  <c r="C25" i="11"/>
  <c r="C35" i="11" s="1"/>
  <c r="W29" i="11"/>
  <c r="W39" i="11" s="1"/>
  <c r="W53" i="10"/>
  <c r="Q28" i="11"/>
  <c r="Q38" i="11" s="1"/>
  <c r="Q52" i="10"/>
  <c r="Q29" i="11"/>
  <c r="Q39" i="11" s="1"/>
  <c r="E24" i="11"/>
  <c r="E34" i="11" s="1"/>
  <c r="E48" i="10"/>
  <c r="P50" i="10"/>
  <c r="P27" i="11"/>
  <c r="P37" i="11" s="1"/>
  <c r="P26" i="11"/>
  <c r="P36" i="11" s="1"/>
  <c r="V49" i="10"/>
  <c r="V25" i="11"/>
  <c r="V35" i="11" s="1"/>
  <c r="D24" i="11"/>
  <c r="D34" i="11" s="1"/>
  <c r="D48" i="10"/>
  <c r="U29" i="11"/>
  <c r="U39" i="11" s="1"/>
  <c r="U53" i="10"/>
  <c r="O28" i="11"/>
  <c r="O38" i="11" s="1"/>
  <c r="O52" i="10"/>
  <c r="U49" i="10"/>
  <c r="U25" i="11"/>
  <c r="U35" i="11" s="1"/>
  <c r="T53" i="10"/>
  <c r="T29" i="11"/>
  <c r="T39" i="11" s="1"/>
  <c r="N28" i="11"/>
  <c r="N38" i="11" s="1"/>
  <c r="N52" i="10"/>
  <c r="H27" i="11"/>
  <c r="H37" i="11" s="1"/>
  <c r="H51" i="10"/>
  <c r="S53" i="10"/>
  <c r="S29" i="11"/>
  <c r="S39" i="11" s="1"/>
  <c r="G53" i="10"/>
  <c r="G29" i="11"/>
  <c r="G39" i="11" s="1"/>
  <c r="M52" i="10"/>
  <c r="M28" i="11"/>
  <c r="M38" i="11" s="1"/>
  <c r="AE27" i="11"/>
  <c r="AE37" i="11" s="1"/>
  <c r="AE51" i="10"/>
  <c r="AB50" i="10"/>
  <c r="AB26" i="11"/>
  <c r="AB36" i="11" s="1"/>
  <c r="O53" i="10"/>
  <c r="O29" i="11"/>
  <c r="O39" i="11" s="1"/>
  <c r="I52" i="10"/>
  <c r="I28" i="11"/>
  <c r="I38" i="11" s="1"/>
  <c r="O51" i="10"/>
  <c r="O27" i="11"/>
  <c r="O37" i="11" s="1"/>
  <c r="O25" i="11"/>
  <c r="O35" i="11" s="1"/>
  <c r="O49" i="10"/>
  <c r="U48" i="10"/>
  <c r="U24" i="11"/>
  <c r="U34" i="11" s="1"/>
  <c r="H29" i="11"/>
  <c r="H39" i="11" s="1"/>
  <c r="H53" i="10"/>
  <c r="E25" i="11"/>
  <c r="E35" i="11" s="1"/>
  <c r="E49" i="10"/>
  <c r="J27" i="11"/>
  <c r="J37" i="11" s="1"/>
  <c r="M24" i="11"/>
  <c r="M34" i="11" s="1"/>
  <c r="C24" i="11"/>
  <c r="C34" i="11" s="1"/>
  <c r="V29" i="11"/>
  <c r="V39" i="11" s="1"/>
  <c r="V53" i="10"/>
  <c r="J29" i="11"/>
  <c r="J39" i="11" s="1"/>
  <c r="J53" i="10"/>
  <c r="D26" i="11"/>
  <c r="D36" i="11" s="1"/>
  <c r="D50" i="10"/>
  <c r="D27" i="11"/>
  <c r="D37" i="11" s="1"/>
  <c r="N27" i="11"/>
  <c r="N37" i="11" s="1"/>
  <c r="N51" i="10"/>
  <c r="T26" i="11"/>
  <c r="T36" i="11" s="1"/>
  <c r="T50" i="10"/>
  <c r="R26" i="11"/>
  <c r="R36" i="11" s="1"/>
  <c r="AG48" i="10"/>
  <c r="AG24" i="11"/>
  <c r="AG34" i="11" s="1"/>
  <c r="AG53" i="10"/>
  <c r="W51" i="10"/>
  <c r="E27" i="11"/>
  <c r="E37" i="11" s="1"/>
  <c r="L24" i="11"/>
  <c r="L34" i="11" s="1"/>
  <c r="AF24" i="11"/>
  <c r="AF34" i="11" s="1"/>
  <c r="AF48" i="10"/>
  <c r="V51" i="10"/>
  <c r="AE50" i="10"/>
  <c r="AE26" i="11"/>
  <c r="AE36" i="11" s="1"/>
  <c r="C48" i="10"/>
  <c r="F29" i="11"/>
  <c r="F39" i="11" s="1"/>
  <c r="F53" i="10"/>
  <c r="AD27" i="11"/>
  <c r="AD37" i="11" s="1"/>
  <c r="AD51" i="10"/>
  <c r="AD26" i="11"/>
  <c r="AD36" i="11" s="1"/>
  <c r="F50" i="10"/>
  <c r="F26" i="11"/>
  <c r="F36" i="11" s="1"/>
  <c r="E53" i="10"/>
  <c r="E29" i="11"/>
  <c r="E39" i="11" s="1"/>
  <c r="AC51" i="10"/>
  <c r="AC27" i="11"/>
  <c r="AC37" i="11" s="1"/>
  <c r="AE24" i="11"/>
  <c r="AE34" i="11" s="1"/>
  <c r="AE48" i="10"/>
  <c r="Z48" i="10"/>
  <c r="K29" i="11"/>
  <c r="K39" i="11" s="1"/>
  <c r="K53" i="10"/>
  <c r="E28" i="11"/>
  <c r="E38" i="11" s="1"/>
  <c r="E52" i="10"/>
  <c r="K27" i="11"/>
  <c r="K37" i="11" s="1"/>
  <c r="K51" i="10"/>
  <c r="AC50" i="10"/>
  <c r="AC26" i="11"/>
  <c r="AC36" i="11" s="1"/>
  <c r="E26" i="11"/>
  <c r="E36" i="11" s="1"/>
  <c r="E50" i="10"/>
  <c r="W49" i="10"/>
  <c r="W25" i="11"/>
  <c r="W35" i="11" s="1"/>
  <c r="AC48" i="10"/>
  <c r="AC24" i="11"/>
  <c r="AC34" i="11" s="1"/>
  <c r="Q48" i="10"/>
  <c r="Q24" i="11"/>
  <c r="Q34" i="11" s="1"/>
  <c r="D53" i="10"/>
  <c r="D29" i="11"/>
  <c r="D39" i="11" s="1"/>
  <c r="AA51" i="10"/>
  <c r="AA27" i="11"/>
  <c r="AA37" i="11" s="1"/>
  <c r="O26" i="11"/>
  <c r="O36" i="11" s="1"/>
  <c r="O50" i="10"/>
  <c r="AD50" i="10"/>
  <c r="J25" i="11"/>
  <c r="J35" i="11" s="1"/>
  <c r="J49" i="10"/>
  <c r="AB48" i="10"/>
  <c r="AB24" i="11"/>
  <c r="AB34" i="11" s="1"/>
  <c r="P48" i="10"/>
  <c r="P24" i="11"/>
  <c r="P34" i="11" s="1"/>
  <c r="AG52" i="10"/>
  <c r="AG28" i="11"/>
  <c r="AG38" i="11" s="1"/>
  <c r="Z27" i="11"/>
  <c r="Z37" i="11" s="1"/>
  <c r="Z51" i="10"/>
  <c r="W48" i="10"/>
  <c r="W24" i="11"/>
  <c r="W34" i="11" s="1"/>
  <c r="R28" i="11"/>
  <c r="R38" i="11" s="1"/>
  <c r="I26" i="11"/>
  <c r="I36" i="11" s="1"/>
  <c r="AB53" i="10"/>
  <c r="AB29" i="11"/>
  <c r="AB39" i="11" s="1"/>
  <c r="V52" i="10"/>
  <c r="V28" i="11"/>
  <c r="V38" i="11" s="1"/>
  <c r="M27" i="11"/>
  <c r="M37" i="11" s="1"/>
  <c r="M51" i="10"/>
  <c r="G24" i="11"/>
  <c r="G34" i="11" s="1"/>
  <c r="G48" i="10"/>
  <c r="AC52" i="10"/>
  <c r="S50" i="10"/>
  <c r="S48" i="10"/>
  <c r="H26" i="11"/>
  <c r="H36" i="11" s="1"/>
  <c r="AG51" i="10"/>
  <c r="AG27" i="11"/>
  <c r="AG37" i="11" s="1"/>
  <c r="I27" i="11"/>
  <c r="I37" i="11" s="1"/>
  <c r="I51" i="10"/>
  <c r="AA26" i="11"/>
  <c r="AA36" i="11" s="1"/>
  <c r="AA50" i="10"/>
  <c r="AG49" i="10"/>
  <c r="AG25" i="11"/>
  <c r="AG35" i="11" s="1"/>
  <c r="AA24" i="11"/>
  <c r="AA34" i="11" s="1"/>
  <c r="AA48" i="10"/>
  <c r="O48" i="10"/>
  <c r="O24" i="11"/>
  <c r="O34" i="11" s="1"/>
  <c r="Z28" i="11"/>
  <c r="Z38" i="11" s="1"/>
  <c r="T27" i="11"/>
  <c r="T37" i="11" s="1"/>
  <c r="T51" i="10"/>
  <c r="Z50" i="10"/>
  <c r="Z26" i="11"/>
  <c r="Z36" i="11" s="1"/>
  <c r="AF49" i="10"/>
  <c r="AF25" i="11"/>
  <c r="AF35" i="11" s="1"/>
  <c r="N48" i="10"/>
  <c r="N24" i="11"/>
  <c r="N34" i="11" s="1"/>
  <c r="C29" i="11"/>
  <c r="C39" i="11" s="1"/>
  <c r="C53" i="10"/>
  <c r="AA53" i="10"/>
  <c r="AA29" i="11"/>
  <c r="AA39" i="11" s="1"/>
  <c r="U52" i="10"/>
  <c r="U28" i="11"/>
  <c r="U38" i="11" s="1"/>
  <c r="L27" i="11"/>
  <c r="L37" i="11" s="1"/>
  <c r="L51" i="10"/>
  <c r="F24" i="11"/>
  <c r="F34" i="11" s="1"/>
  <c r="F48" i="10"/>
  <c r="AB52" i="10"/>
  <c r="R50" i="10"/>
  <c r="R48" i="10"/>
  <c r="L28" i="11"/>
  <c r="L38" i="11" s="1"/>
  <c r="K25" i="11"/>
  <c r="K35" i="11" s="1"/>
  <c r="AF26" i="11"/>
  <c r="AF36" i="11" s="1"/>
  <c r="AE53" i="10"/>
  <c r="AE29" i="11"/>
  <c r="AE39" i="11" s="1"/>
  <c r="Y52" i="10"/>
  <c r="Y28" i="11"/>
  <c r="Y38" i="11" s="1"/>
  <c r="S27" i="11"/>
  <c r="S37" i="11" s="1"/>
  <c r="S51" i="10"/>
  <c r="G27" i="11"/>
  <c r="G37" i="11" s="1"/>
  <c r="G51" i="10"/>
  <c r="Y26" i="11"/>
  <c r="Y36" i="11" s="1"/>
  <c r="Y50" i="10"/>
  <c r="M26" i="11"/>
  <c r="M36" i="11" s="1"/>
  <c r="M50" i="10"/>
  <c r="AE25" i="11"/>
  <c r="AE35" i="11" s="1"/>
  <c r="AE49" i="10"/>
  <c r="S25" i="11"/>
  <c r="S35" i="11" s="1"/>
  <c r="S49" i="10"/>
  <c r="G25" i="11"/>
  <c r="G35" i="11" s="1"/>
  <c r="G49" i="10"/>
  <c r="Y48" i="10"/>
  <c r="Y24" i="11"/>
  <c r="Y34" i="11" s="1"/>
  <c r="X25" i="11"/>
  <c r="X35" i="11" s="1"/>
  <c r="AA52" i="10"/>
  <c r="Q50" i="10"/>
  <c r="K28" i="11"/>
  <c r="K38" i="11" s="1"/>
  <c r="I25" i="11"/>
  <c r="I35" i="11" s="1"/>
  <c r="R27" i="11"/>
  <c r="R37" i="11" s="1"/>
  <c r="H25" i="11"/>
  <c r="H35" i="11" s="1"/>
  <c r="P28" i="11"/>
  <c r="P38" i="11" s="1"/>
  <c r="P52" i="10"/>
  <c r="D28" i="11"/>
  <c r="D38" i="11" s="1"/>
  <c r="D52" i="10"/>
  <c r="AD29" i="11"/>
  <c r="AD39" i="11" s="1"/>
  <c r="AD53" i="10"/>
  <c r="F27" i="11"/>
  <c r="F37" i="11" s="1"/>
  <c r="F51" i="10"/>
  <c r="R25" i="11"/>
  <c r="R35" i="11" s="1"/>
  <c r="AC53" i="10"/>
  <c r="AC29" i="11"/>
  <c r="AC39" i="11" s="1"/>
  <c r="W52" i="10"/>
  <c r="W28" i="11"/>
  <c r="W38" i="11" s="1"/>
  <c r="W26" i="11"/>
  <c r="W36" i="11" s="1"/>
  <c r="W50" i="10"/>
  <c r="K26" i="11"/>
  <c r="K36" i="11" s="1"/>
  <c r="K50" i="10"/>
  <c r="Q25" i="11"/>
  <c r="Q35" i="11" s="1"/>
  <c r="Q49" i="10"/>
  <c r="K48" i="10"/>
  <c r="K24" i="11"/>
  <c r="K34" i="11" s="1"/>
  <c r="C50" i="10"/>
  <c r="C26" i="11"/>
  <c r="C36" i="11" s="1"/>
  <c r="Q27" i="11"/>
  <c r="Q37" i="11" s="1"/>
  <c r="F25" i="11"/>
  <c r="F35" i="11" s="1"/>
  <c r="I29" i="11"/>
  <c r="I39" i="11" s="1"/>
  <c r="I53" i="10"/>
  <c r="L26" i="11"/>
  <c r="L36" i="11" s="1"/>
  <c r="L50" i="10"/>
  <c r="P53" i="10"/>
  <c r="P29" i="11"/>
  <c r="P39" i="11" s="1"/>
  <c r="J52" i="10"/>
  <c r="J28" i="11"/>
  <c r="J38" i="11" s="1"/>
  <c r="T49" i="10"/>
  <c r="T25" i="11"/>
  <c r="T35" i="11" s="1"/>
  <c r="AD24" i="11"/>
  <c r="AD34" i="11" s="1"/>
  <c r="AB51" i="10"/>
  <c r="AB27" i="11"/>
  <c r="AB37" i="11" s="1"/>
  <c r="V50" i="10"/>
  <c r="V26" i="11"/>
  <c r="V36" i="11" s="1"/>
  <c r="AB25" i="11"/>
  <c r="AB35" i="11" s="1"/>
  <c r="AB49" i="10"/>
  <c r="P25" i="11"/>
  <c r="P35" i="11" s="1"/>
  <c r="P49" i="10"/>
  <c r="D25" i="11"/>
  <c r="D35" i="11" s="1"/>
  <c r="D49" i="10"/>
  <c r="J48" i="10"/>
  <c r="J24" i="11"/>
  <c r="J34" i="11" s="1"/>
  <c r="U50" i="10"/>
  <c r="U26" i="11"/>
  <c r="U36" i="11" s="1"/>
  <c r="AA25" i="11"/>
  <c r="AA35" i="11" s="1"/>
  <c r="AA49" i="10"/>
  <c r="I48" i="10"/>
  <c r="I24" i="11"/>
  <c r="I34" i="11" s="1"/>
  <c r="H28" i="11"/>
  <c r="H38" i="11" s="1"/>
  <c r="V24" i="11"/>
  <c r="V34" i="11" s="1"/>
  <c r="N29" i="11"/>
  <c r="N39" i="11" s="1"/>
  <c r="AF28" i="11"/>
  <c r="AF38" i="11" s="1"/>
  <c r="AF52" i="10"/>
  <c r="T28" i="11"/>
  <c r="T38" i="11" s="1"/>
  <c r="T52" i="10"/>
  <c r="Z25" i="11"/>
  <c r="Z35" i="11" s="1"/>
  <c r="N25" i="11"/>
  <c r="N35" i="11" s="1"/>
  <c r="N49" i="10"/>
  <c r="H24" i="11"/>
  <c r="H34" i="11" s="1"/>
  <c r="H48" i="10"/>
  <c r="Y29" i="11"/>
  <c r="Y39" i="11" s="1"/>
  <c r="Y53" i="10"/>
  <c r="M29" i="11"/>
  <c r="M39" i="11" s="1"/>
  <c r="AE28" i="11"/>
  <c r="AE38" i="11" s="1"/>
  <c r="S28" i="11"/>
  <c r="S38" i="11" s="1"/>
  <c r="S52" i="10"/>
  <c r="G28" i="11"/>
  <c r="G38" i="11" s="1"/>
  <c r="G50" i="10"/>
  <c r="G26" i="11"/>
  <c r="G36" i="11" s="1"/>
  <c r="M25" i="11"/>
  <c r="M35" i="11" s="1"/>
  <c r="G52" i="10"/>
  <c r="AD28" i="11"/>
  <c r="AD38" i="11" s="1"/>
  <c r="X29" i="11"/>
  <c r="X39" i="11" s="1"/>
  <c r="X53" i="10"/>
  <c r="L29" i="11"/>
  <c r="L39" i="11" s="1"/>
  <c r="F28" i="11"/>
  <c r="F38" i="11" s="1"/>
  <c r="L25" i="11"/>
  <c r="L35" i="11" s="1"/>
  <c r="AE52" i="10"/>
  <c r="F52" i="10"/>
  <c r="Z29" i="11"/>
  <c r="Z39" i="11" s="1"/>
  <c r="A42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D13" i="7" l="1"/>
  <c r="AE13" i="7"/>
  <c r="AD14" i="7"/>
  <c r="AD15" i="7" s="1"/>
  <c r="AE14" i="7"/>
  <c r="AE15" i="7" s="1"/>
  <c r="AD16" i="7"/>
  <c r="AD17" i="7" s="1"/>
  <c r="AE16" i="7"/>
  <c r="AE17" i="7" s="1"/>
  <c r="AD20" i="7"/>
  <c r="AE20" i="7"/>
  <c r="AE42" i="7" l="1"/>
  <c r="AD42" i="7"/>
  <c r="AD27" i="7"/>
  <c r="AD31" i="7"/>
  <c r="AD35" i="7"/>
  <c r="AD40" i="7"/>
  <c r="AD25" i="7"/>
  <c r="AD32" i="7"/>
  <c r="AD34" i="7"/>
  <c r="AD29" i="7"/>
  <c r="AD36" i="7"/>
  <c r="AD38" i="7"/>
  <c r="AD39" i="7"/>
  <c r="AD33" i="7"/>
  <c r="AD24" i="7"/>
  <c r="AD30" i="7"/>
  <c r="AD37" i="7"/>
  <c r="AD28" i="7"/>
  <c r="AD26" i="7"/>
  <c r="AD41" i="7"/>
  <c r="AE27" i="7"/>
  <c r="AE31" i="7"/>
  <c r="AE35" i="7"/>
  <c r="AE40" i="7"/>
  <c r="AE25" i="7"/>
  <c r="AE32" i="7"/>
  <c r="AE34" i="7"/>
  <c r="AE41" i="7"/>
  <c r="AE28" i="7"/>
  <c r="AE36" i="7"/>
  <c r="AE39" i="7"/>
  <c r="AE33" i="7"/>
  <c r="AE24" i="7"/>
  <c r="AE30" i="7"/>
  <c r="AE37" i="7"/>
  <c r="AE38" i="7"/>
  <c r="AE26" i="7"/>
  <c r="AE29" i="7"/>
  <c r="AE25" i="2" l="1"/>
  <c r="AD24" i="2"/>
  <c r="AD26" i="2"/>
  <c r="AE24" i="2"/>
  <c r="AE26" i="2"/>
  <c r="AD25" i="2"/>
  <c r="A3" i="7"/>
  <c r="A24" i="7" l="1"/>
  <c r="D20" i="7" l="1"/>
  <c r="E20" i="7"/>
  <c r="H20" i="7"/>
  <c r="L20" i="7"/>
  <c r="M20" i="7"/>
  <c r="N20" i="7"/>
  <c r="Q20" i="7"/>
  <c r="T20" i="7"/>
  <c r="U20" i="7"/>
  <c r="V20" i="7"/>
  <c r="X20" i="7"/>
  <c r="Y20" i="7"/>
  <c r="AB20" i="7"/>
  <c r="AC20" i="7"/>
  <c r="C20" i="7"/>
  <c r="AC16" i="7"/>
  <c r="AC17" i="7" s="1"/>
  <c r="AA13" i="7"/>
  <c r="W16" i="7"/>
  <c r="W17" i="7" s="1"/>
  <c r="U14" i="7"/>
  <c r="U15" i="7" s="1"/>
  <c r="R14" i="7"/>
  <c r="R15" i="7" s="1"/>
  <c r="Q13" i="7"/>
  <c r="K16" i="7"/>
  <c r="I13" i="7"/>
  <c r="F13" i="7"/>
  <c r="C16" i="7"/>
  <c r="A23" i="7"/>
  <c r="B14" i="7"/>
  <c r="B15" i="7" s="1"/>
  <c r="B13" i="7"/>
  <c r="A9" i="7"/>
  <c r="A8" i="7"/>
  <c r="A7" i="7"/>
  <c r="A6" i="7"/>
  <c r="A5" i="7"/>
  <c r="A4" i="7"/>
  <c r="A1" i="7"/>
  <c r="A4" i="4"/>
  <c r="A5" i="4"/>
  <c r="A6" i="4"/>
  <c r="A7" i="4"/>
  <c r="A8" i="4"/>
  <c r="A9" i="4"/>
  <c r="A3" i="4"/>
  <c r="A1" i="4"/>
  <c r="AA42" i="7" l="1"/>
  <c r="F42" i="7"/>
  <c r="I42" i="7"/>
  <c r="Q42" i="7"/>
  <c r="AA26" i="7"/>
  <c r="AA30" i="7"/>
  <c r="AA34" i="7"/>
  <c r="AA38" i="7"/>
  <c r="AA39" i="7"/>
  <c r="AA27" i="7"/>
  <c r="AA29" i="7"/>
  <c r="AA36" i="7"/>
  <c r="AA40" i="7"/>
  <c r="AA24" i="7"/>
  <c r="AA31" i="7"/>
  <c r="AA33" i="7"/>
  <c r="AA37" i="7"/>
  <c r="AA28" i="7"/>
  <c r="AA25" i="7"/>
  <c r="AA41" i="7"/>
  <c r="AA35" i="7"/>
  <c r="AA32" i="7"/>
  <c r="F24" i="7"/>
  <c r="I24" i="7"/>
  <c r="I29" i="7"/>
  <c r="I33" i="7"/>
  <c r="I37" i="7"/>
  <c r="I25" i="7"/>
  <c r="I30" i="7"/>
  <c r="I31" i="7"/>
  <c r="I39" i="7"/>
  <c r="I40" i="7"/>
  <c r="I36" i="7"/>
  <c r="I34" i="7"/>
  <c r="I35" i="7"/>
  <c r="I28" i="7"/>
  <c r="I25" i="2" s="1"/>
  <c r="I41" i="7"/>
  <c r="I26" i="7"/>
  <c r="I27" i="7"/>
  <c r="I32" i="7"/>
  <c r="I38" i="7"/>
  <c r="Q26" i="7"/>
  <c r="Q30" i="7"/>
  <c r="Q34" i="7"/>
  <c r="Q38" i="7"/>
  <c r="Q39" i="7"/>
  <c r="Q27" i="7"/>
  <c r="Q31" i="7"/>
  <c r="Q26" i="2" s="1"/>
  <c r="Q35" i="7"/>
  <c r="Q40" i="7"/>
  <c r="Q33" i="7"/>
  <c r="Q32" i="7"/>
  <c r="Q41" i="7"/>
  <c r="Q37" i="7"/>
  <c r="Q25" i="7"/>
  <c r="Q36" i="7"/>
  <c r="Q29" i="7"/>
  <c r="Q24" i="7"/>
  <c r="Q28" i="7"/>
  <c r="Q14" i="7"/>
  <c r="Q15" i="7" s="1"/>
  <c r="J20" i="7"/>
  <c r="Z16" i="7"/>
  <c r="Z17" i="7" s="1"/>
  <c r="J14" i="7"/>
  <c r="J15" i="7" s="1"/>
  <c r="R20" i="7"/>
  <c r="Z20" i="7"/>
  <c r="J16" i="7"/>
  <c r="J17" i="7" s="1"/>
  <c r="AA16" i="7"/>
  <c r="AA17" i="7" s="1"/>
  <c r="I20" i="7"/>
  <c r="K17" i="7"/>
  <c r="E14" i="7"/>
  <c r="E15" i="7" s="1"/>
  <c r="T14" i="7"/>
  <c r="T15" i="7" s="1"/>
  <c r="I16" i="7"/>
  <c r="F14" i="7"/>
  <c r="F15" i="7" s="1"/>
  <c r="X14" i="7"/>
  <c r="X15" i="7" s="1"/>
  <c r="T13" i="7"/>
  <c r="P14" i="7"/>
  <c r="P15" i="7" s="1"/>
  <c r="AA14" i="7"/>
  <c r="AA15" i="7" s="1"/>
  <c r="T16" i="7"/>
  <c r="P16" i="7"/>
  <c r="P13" i="7"/>
  <c r="N13" i="7"/>
  <c r="N16" i="7"/>
  <c r="N17" i="7" s="1"/>
  <c r="H14" i="7"/>
  <c r="H15" i="7" s="1"/>
  <c r="N14" i="7"/>
  <c r="N15" i="7" s="1"/>
  <c r="F20" i="7"/>
  <c r="F16" i="7"/>
  <c r="K14" i="7"/>
  <c r="K15" i="7" s="1"/>
  <c r="H16" i="7"/>
  <c r="I14" i="7"/>
  <c r="I15" i="7" s="1"/>
  <c r="Q16" i="7"/>
  <c r="Y13" i="7"/>
  <c r="Y14" i="7"/>
  <c r="Y15" i="7" s="1"/>
  <c r="Y16" i="7"/>
  <c r="O20" i="7"/>
  <c r="K20" i="7"/>
  <c r="G20" i="7"/>
  <c r="V14" i="7"/>
  <c r="V15" i="7" s="1"/>
  <c r="G14" i="7"/>
  <c r="G15" i="7" s="1"/>
  <c r="G16" i="7"/>
  <c r="S16" i="7"/>
  <c r="S14" i="7"/>
  <c r="S15" i="7" s="1"/>
  <c r="V16" i="7"/>
  <c r="X13" i="7"/>
  <c r="W14" i="7"/>
  <c r="W15" i="7" s="1"/>
  <c r="Z14" i="7"/>
  <c r="Z15" i="7" s="1"/>
  <c r="X16" i="7"/>
  <c r="Z13" i="7"/>
  <c r="M16" i="7"/>
  <c r="M14" i="7"/>
  <c r="M15" i="7" s="1"/>
  <c r="D14" i="7"/>
  <c r="D15" i="7" s="1"/>
  <c r="C14" i="7"/>
  <c r="C15" i="7" s="1"/>
  <c r="E16" i="7"/>
  <c r="H13" i="7"/>
  <c r="AB16" i="7"/>
  <c r="AB14" i="7"/>
  <c r="AB15" i="7" s="1"/>
  <c r="P20" i="7"/>
  <c r="D13" i="7"/>
  <c r="C17" i="7"/>
  <c r="R16" i="7"/>
  <c r="AC14" i="7"/>
  <c r="AC15" i="7" s="1"/>
  <c r="AA20" i="7"/>
  <c r="W20" i="7"/>
  <c r="S20" i="7"/>
  <c r="D16" i="7"/>
  <c r="L16" i="7"/>
  <c r="L14" i="7"/>
  <c r="L15" i="7" s="1"/>
  <c r="O16" i="7"/>
  <c r="O14" i="7"/>
  <c r="O15" i="7" s="1"/>
  <c r="U16" i="7"/>
  <c r="I45" i="2" l="1"/>
  <c r="AA24" i="2"/>
  <c r="Q25" i="2"/>
  <c r="AA26" i="2"/>
  <c r="I26" i="2"/>
  <c r="Q24" i="2"/>
  <c r="AA25" i="2"/>
  <c r="I24" i="2"/>
  <c r="H42" i="7"/>
  <c r="Z42" i="7"/>
  <c r="T42" i="7"/>
  <c r="X42" i="7"/>
  <c r="D42" i="7"/>
  <c r="N42" i="7"/>
  <c r="P42" i="7"/>
  <c r="D33" i="7"/>
  <c r="D26" i="7"/>
  <c r="D27" i="7"/>
  <c r="D28" i="7"/>
  <c r="D29" i="7"/>
  <c r="D39" i="7"/>
  <c r="D38" i="7"/>
  <c r="D40" i="7"/>
  <c r="D34" i="7"/>
  <c r="D41" i="7"/>
  <c r="D25" i="7"/>
  <c r="D30" i="7"/>
  <c r="D31" i="7"/>
  <c r="D32" i="7"/>
  <c r="D35" i="7"/>
  <c r="D36" i="7"/>
  <c r="D37" i="7"/>
  <c r="Z25" i="7"/>
  <c r="Z29" i="7"/>
  <c r="Z33" i="7"/>
  <c r="Z37" i="7"/>
  <c r="Z27" i="7"/>
  <c r="Z34" i="7"/>
  <c r="Z36" i="7"/>
  <c r="Z40" i="7"/>
  <c r="Z24" i="7"/>
  <c r="Z31" i="7"/>
  <c r="Z38" i="7"/>
  <c r="Z39" i="7"/>
  <c r="Z30" i="7"/>
  <c r="Z28" i="7"/>
  <c r="Z41" i="7"/>
  <c r="Z35" i="7"/>
  <c r="Z26" i="7"/>
  <c r="Z32" i="7"/>
  <c r="T24" i="7"/>
  <c r="T26" i="7"/>
  <c r="T28" i="7"/>
  <c r="T30" i="7"/>
  <c r="T32" i="7"/>
  <c r="T34" i="7"/>
  <c r="T36" i="7"/>
  <c r="T38" i="7"/>
  <c r="T39" i="7"/>
  <c r="T41" i="7"/>
  <c r="T25" i="7"/>
  <c r="T29" i="7"/>
  <c r="T33" i="7"/>
  <c r="T31" i="7"/>
  <c r="T40" i="7"/>
  <c r="T37" i="7"/>
  <c r="T35" i="7"/>
  <c r="Y25" i="7"/>
  <c r="Y29" i="7"/>
  <c r="Y33" i="7"/>
  <c r="Y24" i="7"/>
  <c r="Y31" i="7"/>
  <c r="Y30" i="7"/>
  <c r="Y28" i="7"/>
  <c r="Y40" i="7"/>
  <c r="Y34" i="7"/>
  <c r="Y35" i="7"/>
  <c r="Y26" i="7"/>
  <c r="Y32" i="7"/>
  <c r="Y39" i="7"/>
  <c r="H24" i="7"/>
  <c r="H26" i="7"/>
  <c r="H28" i="7"/>
  <c r="H30" i="7"/>
  <c r="H32" i="7"/>
  <c r="H34" i="7"/>
  <c r="H29" i="7"/>
  <c r="H33" i="7"/>
  <c r="H25" i="7"/>
  <c r="H31" i="7"/>
  <c r="H35" i="7"/>
  <c r="N25" i="7"/>
  <c r="N27" i="7"/>
  <c r="N29" i="7"/>
  <c r="N31" i="7"/>
  <c r="N33" i="7"/>
  <c r="N35" i="7"/>
  <c r="N37" i="7"/>
  <c r="N40" i="7"/>
  <c r="N28" i="7"/>
  <c r="N32" i="7"/>
  <c r="N36" i="7"/>
  <c r="N41" i="7"/>
  <c r="N26" i="7"/>
  <c r="N38" i="7"/>
  <c r="N30" i="7"/>
  <c r="N39" i="7"/>
  <c r="N24" i="7"/>
  <c r="N34" i="7"/>
  <c r="P31" i="7"/>
  <c r="P33" i="7"/>
  <c r="P34" i="7"/>
  <c r="P32" i="7"/>
  <c r="P26" i="7"/>
  <c r="P25" i="7"/>
  <c r="P29" i="7"/>
  <c r="P24" i="7"/>
  <c r="P28" i="7"/>
  <c r="X25" i="7"/>
  <c r="X29" i="7"/>
  <c r="X33" i="7"/>
  <c r="X37" i="7"/>
  <c r="X24" i="7"/>
  <c r="X31" i="7"/>
  <c r="X38" i="7"/>
  <c r="X26" i="7"/>
  <c r="X28" i="7"/>
  <c r="X35" i="7"/>
  <c r="X39" i="7"/>
  <c r="X41" i="7"/>
  <c r="X30" i="7"/>
  <c r="X36" i="7"/>
  <c r="X27" i="7"/>
  <c r="X40" i="7"/>
  <c r="X34" i="7"/>
  <c r="X32" i="7"/>
  <c r="J13" i="7"/>
  <c r="T17" i="7"/>
  <c r="T27" i="7" s="1"/>
  <c r="P17" i="7"/>
  <c r="P27" i="7" s="1"/>
  <c r="I17" i="7"/>
  <c r="Q17" i="7"/>
  <c r="H17" i="7"/>
  <c r="H27" i="7" s="1"/>
  <c r="V17" i="7"/>
  <c r="X17" i="7"/>
  <c r="F17" i="7"/>
  <c r="Y17" i="7"/>
  <c r="Y38" i="7" s="1"/>
  <c r="S17" i="7"/>
  <c r="V13" i="7"/>
  <c r="G17" i="7"/>
  <c r="L17" i="7"/>
  <c r="D17" i="7"/>
  <c r="AC13" i="7"/>
  <c r="C13" i="7"/>
  <c r="C36" i="7" s="1"/>
  <c r="R13" i="7"/>
  <c r="O17" i="7"/>
  <c r="L13" i="7"/>
  <c r="AB17" i="7"/>
  <c r="E17" i="7"/>
  <c r="M17" i="7"/>
  <c r="G13" i="7"/>
  <c r="U17" i="7"/>
  <c r="R17" i="7"/>
  <c r="AB13" i="7"/>
  <c r="E13" i="7"/>
  <c r="W13" i="7"/>
  <c r="M13" i="7"/>
  <c r="U13" i="7"/>
  <c r="K13" i="7"/>
  <c r="S13" i="7"/>
  <c r="O13" i="7"/>
  <c r="D24" i="2" l="1"/>
  <c r="H24" i="2"/>
  <c r="N25" i="2"/>
  <c r="P25" i="2"/>
  <c r="D25" i="2"/>
  <c r="T25" i="2"/>
  <c r="T26" i="2"/>
  <c r="D26" i="2"/>
  <c r="X26" i="2"/>
  <c r="T24" i="2"/>
  <c r="Y26" i="2"/>
  <c r="X24" i="2"/>
  <c r="N26" i="2"/>
  <c r="H25" i="2"/>
  <c r="Z25" i="2"/>
  <c r="Z24" i="2"/>
  <c r="N24" i="2"/>
  <c r="Y24" i="2"/>
  <c r="X25" i="2"/>
  <c r="P24" i="2"/>
  <c r="H26" i="2"/>
  <c r="Z26" i="2"/>
  <c r="H36" i="7"/>
  <c r="P30" i="7"/>
  <c r="P26" i="2" s="1"/>
  <c r="H37" i="7"/>
  <c r="P37" i="7"/>
  <c r="P41" i="7"/>
  <c r="H38" i="7"/>
  <c r="H41" i="7"/>
  <c r="F34" i="7"/>
  <c r="F35" i="7"/>
  <c r="F33" i="7"/>
  <c r="P39" i="7"/>
  <c r="H40" i="7"/>
  <c r="H39" i="7"/>
  <c r="P36" i="7"/>
  <c r="Y42" i="7"/>
  <c r="P40" i="7"/>
  <c r="P38" i="7"/>
  <c r="P35" i="7"/>
  <c r="Y36" i="7"/>
  <c r="M42" i="7"/>
  <c r="W42" i="7"/>
  <c r="C42" i="7"/>
  <c r="O42" i="7"/>
  <c r="AC42" i="7"/>
  <c r="F40" i="7"/>
  <c r="F31" i="7"/>
  <c r="F38" i="7"/>
  <c r="F30" i="7"/>
  <c r="F32" i="7"/>
  <c r="S42" i="7"/>
  <c r="Y41" i="7"/>
  <c r="R42" i="7"/>
  <c r="G42" i="7"/>
  <c r="V42" i="7"/>
  <c r="E42" i="7"/>
  <c r="AB42" i="7"/>
  <c r="J42" i="7"/>
  <c r="L42" i="7"/>
  <c r="K42" i="7"/>
  <c r="U42" i="7"/>
  <c r="Y37" i="7"/>
  <c r="Y27" i="7"/>
  <c r="Y25" i="2" s="1"/>
  <c r="R24" i="7"/>
  <c r="R26" i="7"/>
  <c r="R28" i="7"/>
  <c r="R30" i="7"/>
  <c r="R32" i="7"/>
  <c r="R34" i="7"/>
  <c r="R36" i="7"/>
  <c r="R38" i="7"/>
  <c r="R39" i="7"/>
  <c r="R41" i="7"/>
  <c r="R27" i="7"/>
  <c r="R31" i="7"/>
  <c r="R35" i="7"/>
  <c r="R40" i="7"/>
  <c r="R33" i="7"/>
  <c r="R37" i="7"/>
  <c r="R25" i="7"/>
  <c r="R29" i="7"/>
  <c r="L25" i="7"/>
  <c r="L27" i="7"/>
  <c r="L29" i="7"/>
  <c r="L31" i="7"/>
  <c r="L33" i="7"/>
  <c r="L35" i="7"/>
  <c r="L37" i="7"/>
  <c r="L40" i="7"/>
  <c r="L28" i="7"/>
  <c r="L32" i="7"/>
  <c r="L36" i="7"/>
  <c r="L41" i="7"/>
  <c r="L26" i="7"/>
  <c r="L38" i="7"/>
  <c r="L30" i="7"/>
  <c r="L39" i="7"/>
  <c r="L24" i="7"/>
  <c r="L34" i="7"/>
  <c r="U29" i="7"/>
  <c r="U33" i="7"/>
  <c r="U37" i="7"/>
  <c r="U25" i="7"/>
  <c r="U26" i="7"/>
  <c r="U30" i="7"/>
  <c r="U34" i="7"/>
  <c r="U38" i="7"/>
  <c r="U39" i="7"/>
  <c r="U28" i="7"/>
  <c r="U27" i="7"/>
  <c r="U32" i="7"/>
  <c r="U41" i="7"/>
  <c r="U31" i="7"/>
  <c r="U40" i="7"/>
  <c r="U24" i="7"/>
  <c r="U35" i="7"/>
  <c r="U36" i="7"/>
  <c r="M25" i="7"/>
  <c r="M28" i="7"/>
  <c r="M32" i="7"/>
  <c r="M36" i="7"/>
  <c r="M41" i="7"/>
  <c r="M27" i="7"/>
  <c r="M26" i="7"/>
  <c r="M38" i="7"/>
  <c r="M37" i="7"/>
  <c r="M31" i="7"/>
  <c r="M40" i="7"/>
  <c r="M30" i="7"/>
  <c r="M39" i="7"/>
  <c r="M24" i="7"/>
  <c r="M29" i="7"/>
  <c r="M35" i="7"/>
  <c r="M34" i="7"/>
  <c r="M33" i="7"/>
  <c r="C41" i="7"/>
  <c r="C27" i="7"/>
  <c r="C28" i="7"/>
  <c r="C29" i="7"/>
  <c r="C30" i="7"/>
  <c r="C39" i="7"/>
  <c r="C38" i="7"/>
  <c r="C40" i="7"/>
  <c r="C25" i="7"/>
  <c r="C26" i="7"/>
  <c r="C31" i="7"/>
  <c r="C32" i="7"/>
  <c r="C33" i="7"/>
  <c r="C34" i="7"/>
  <c r="C35" i="7"/>
  <c r="C37" i="7"/>
  <c r="O27" i="7"/>
  <c r="O31" i="7"/>
  <c r="O35" i="7"/>
  <c r="O40" i="7"/>
  <c r="O32" i="7"/>
  <c r="O41" i="7"/>
  <c r="O26" i="7"/>
  <c r="O37" i="7"/>
  <c r="O38" i="7"/>
  <c r="O25" i="7"/>
  <c r="O36" i="7"/>
  <c r="O29" i="7"/>
  <c r="O30" i="7"/>
  <c r="O39" i="7"/>
  <c r="O24" i="7"/>
  <c r="O28" i="7"/>
  <c r="O34" i="7"/>
  <c r="O33" i="7"/>
  <c r="S24" i="7"/>
  <c r="S39" i="7"/>
  <c r="S26" i="7"/>
  <c r="S30" i="7"/>
  <c r="S34" i="7"/>
  <c r="S38" i="7"/>
  <c r="S28" i="7"/>
  <c r="S27" i="7"/>
  <c r="S33" i="7"/>
  <c r="S32" i="7"/>
  <c r="S41" i="7"/>
  <c r="S31" i="7"/>
  <c r="S40" i="7"/>
  <c r="S37" i="7"/>
  <c r="S25" i="7"/>
  <c r="S36" i="7"/>
  <c r="S29" i="7"/>
  <c r="S35" i="7"/>
  <c r="G24" i="7"/>
  <c r="G26" i="7"/>
  <c r="G29" i="7"/>
  <c r="G33" i="7"/>
  <c r="G37" i="7"/>
  <c r="G25" i="7"/>
  <c r="G30" i="7"/>
  <c r="G34" i="7"/>
  <c r="G38" i="7"/>
  <c r="G39" i="7"/>
  <c r="G36" i="7"/>
  <c r="G35" i="7"/>
  <c r="G28" i="7"/>
  <c r="G27" i="7"/>
  <c r="G41" i="7"/>
  <c r="G40" i="7"/>
  <c r="G31" i="7"/>
  <c r="G32" i="7"/>
  <c r="V29" i="7"/>
  <c r="V33" i="7"/>
  <c r="V37" i="7"/>
  <c r="V25" i="7"/>
  <c r="V26" i="7"/>
  <c r="V30" i="7"/>
  <c r="V34" i="7"/>
  <c r="V38" i="7"/>
  <c r="V39" i="7"/>
  <c r="V24" i="7"/>
  <c r="V35" i="7"/>
  <c r="V28" i="7"/>
  <c r="V27" i="7"/>
  <c r="V32" i="7"/>
  <c r="V41" i="7"/>
  <c r="V31" i="7"/>
  <c r="V40" i="7"/>
  <c r="V36" i="7"/>
  <c r="W24" i="7"/>
  <c r="W28" i="7"/>
  <c r="W32" i="7"/>
  <c r="W36" i="7"/>
  <c r="W41" i="7"/>
  <c r="W29" i="7"/>
  <c r="W31" i="7"/>
  <c r="W38" i="7"/>
  <c r="W26" i="7"/>
  <c r="W33" i="7"/>
  <c r="W35" i="7"/>
  <c r="W39" i="7"/>
  <c r="W27" i="7"/>
  <c r="W37" i="7"/>
  <c r="W40" i="7"/>
  <c r="W34" i="7"/>
  <c r="W25" i="7"/>
  <c r="W30" i="7"/>
  <c r="E24" i="7"/>
  <c r="E25" i="7"/>
  <c r="E30" i="7"/>
  <c r="E34" i="7"/>
  <c r="E38" i="7"/>
  <c r="E39" i="7"/>
  <c r="E26" i="7"/>
  <c r="E35" i="7"/>
  <c r="E36" i="7"/>
  <c r="E29" i="7"/>
  <c r="E27" i="7"/>
  <c r="E28" i="7"/>
  <c r="E33" i="7"/>
  <c r="E41" i="7"/>
  <c r="E40" i="7"/>
  <c r="E31" i="7"/>
  <c r="E32" i="7"/>
  <c r="E37" i="7"/>
  <c r="AC26" i="7"/>
  <c r="AC30" i="7"/>
  <c r="AC34" i="7"/>
  <c r="AC38" i="7"/>
  <c r="AC39" i="7"/>
  <c r="AC25" i="7"/>
  <c r="AC32" i="7"/>
  <c r="AC27" i="7"/>
  <c r="AC29" i="7"/>
  <c r="AC36" i="7"/>
  <c r="AC40" i="7"/>
  <c r="AC33" i="7"/>
  <c r="AC24" i="7"/>
  <c r="AC31" i="7"/>
  <c r="AC37" i="7"/>
  <c r="AC28" i="7"/>
  <c r="AC41" i="7"/>
  <c r="AC35" i="7"/>
  <c r="F26" i="7"/>
  <c r="F28" i="7"/>
  <c r="F27" i="7"/>
  <c r="F37" i="7"/>
  <c r="F36" i="7"/>
  <c r="F39" i="7"/>
  <c r="F41" i="7"/>
  <c r="F29" i="7"/>
  <c r="F25" i="7"/>
  <c r="AB26" i="7"/>
  <c r="AB30" i="7"/>
  <c r="AB34" i="7"/>
  <c r="AB38" i="7"/>
  <c r="AB39" i="7"/>
  <c r="AB27" i="7"/>
  <c r="AB29" i="7"/>
  <c r="AB36" i="7"/>
  <c r="AB40" i="7"/>
  <c r="AB33" i="7"/>
  <c r="AB24" i="7"/>
  <c r="AB31" i="7"/>
  <c r="AB37" i="7"/>
  <c r="AB28" i="7"/>
  <c r="AB25" i="7"/>
  <c r="AB41" i="7"/>
  <c r="AB32" i="7"/>
  <c r="AB35" i="7"/>
  <c r="J24" i="7"/>
  <c r="J29" i="7"/>
  <c r="J33" i="7"/>
  <c r="J37" i="7"/>
  <c r="J32" i="7"/>
  <c r="J41" i="7"/>
  <c r="J25" i="7"/>
  <c r="J30" i="7"/>
  <c r="J31" i="7"/>
  <c r="J39" i="7"/>
  <c r="J40" i="7"/>
  <c r="J36" i="7"/>
  <c r="J34" i="7"/>
  <c r="J35" i="7"/>
  <c r="J28" i="7"/>
  <c r="J26" i="7"/>
  <c r="J27" i="7"/>
  <c r="J38" i="7"/>
  <c r="K28" i="7"/>
  <c r="K32" i="7"/>
  <c r="K36" i="7"/>
  <c r="K41" i="7"/>
  <c r="K24" i="7"/>
  <c r="K37" i="7"/>
  <c r="K25" i="7"/>
  <c r="K30" i="7"/>
  <c r="K31" i="7"/>
  <c r="K39" i="7"/>
  <c r="K40" i="7"/>
  <c r="K29" i="7"/>
  <c r="K34" i="7"/>
  <c r="K35" i="7"/>
  <c r="K27" i="7"/>
  <c r="K26" i="7"/>
  <c r="K33" i="7"/>
  <c r="K38" i="7"/>
  <c r="AB24" i="2" l="1"/>
  <c r="J26" i="2"/>
  <c r="E25" i="2"/>
  <c r="O25" i="2"/>
  <c r="AC24" i="2"/>
  <c r="G24" i="2"/>
  <c r="W26" i="2"/>
  <c r="L26" i="2"/>
  <c r="L25" i="2"/>
  <c r="K24" i="2"/>
  <c r="E26" i="2"/>
  <c r="V26" i="2"/>
  <c r="V24" i="2"/>
  <c r="O24" i="2"/>
  <c r="U26" i="2"/>
  <c r="S24" i="2"/>
  <c r="E24" i="2"/>
  <c r="R26" i="2"/>
  <c r="F25" i="2"/>
  <c r="E45" i="2"/>
  <c r="C26" i="2"/>
  <c r="V25" i="2"/>
  <c r="S26" i="2"/>
  <c r="U25" i="2"/>
  <c r="AB25" i="2"/>
  <c r="W24" i="2"/>
  <c r="G26" i="2"/>
  <c r="C24" i="2"/>
  <c r="K25" i="2"/>
  <c r="J24" i="2"/>
  <c r="AC25" i="2"/>
  <c r="M25" i="2"/>
  <c r="F26" i="2"/>
  <c r="AB26" i="2"/>
  <c r="F24" i="2"/>
  <c r="M24" i="2"/>
  <c r="L24" i="2"/>
  <c r="AC26" i="2"/>
  <c r="W25" i="2"/>
  <c r="O26" i="2"/>
  <c r="G25" i="2"/>
  <c r="S25" i="2"/>
  <c r="R24" i="2"/>
  <c r="K26" i="2"/>
  <c r="J25" i="2"/>
  <c r="M26" i="2"/>
  <c r="U24" i="2"/>
  <c r="C25" i="2"/>
  <c r="R25" i="2"/>
</calcChain>
</file>

<file path=xl/sharedStrings.xml><?xml version="1.0" encoding="utf-8"?>
<sst xmlns="http://schemas.openxmlformats.org/spreadsheetml/2006/main" count="775" uniqueCount="206">
  <si>
    <t>Sample ID</t>
  </si>
  <si>
    <t>Location</t>
  </si>
  <si>
    <t>QA ID</t>
  </si>
  <si>
    <t>Sampling date</t>
  </si>
  <si>
    <t>Requested analyses</t>
  </si>
  <si>
    <t>Total metals</t>
  </si>
  <si>
    <t>Sample Preparation: Total metal samples were acid digested per SOP K-LRTD-SOP-1193-0 (based on  EPA Method 3051)</t>
  </si>
  <si>
    <t>Electronic data found at: L:\Priv\CtrHill\CSSB Applied Research\Spring River Watershed\Data Reports with QA</t>
  </si>
  <si>
    <t>Analytical Method: ICP analysis per SOP K-LRTD-SOP-1185-1 (based on EPA Method 6010B)</t>
  </si>
  <si>
    <t>MRL (mg/L)</t>
  </si>
  <si>
    <t>Sample</t>
  </si>
  <si>
    <t>Analysis time</t>
  </si>
  <si>
    <t>Ag</t>
  </si>
  <si>
    <t>Si</t>
  </si>
  <si>
    <t>mg/L</t>
  </si>
  <si>
    <t>Total Metals after Acid Digestion</t>
  </si>
  <si>
    <t>Lowest Cal Std</t>
  </si>
  <si>
    <t>Highest Cal Std</t>
  </si>
  <si>
    <t>MRL (mg/kg)</t>
  </si>
  <si>
    <r>
      <t>MRL (mg/kg)</t>
    </r>
    <r>
      <rPr>
        <b/>
        <vertAlign val="superscript"/>
        <sz val="11"/>
        <rFont val="Calibri"/>
        <family val="2"/>
        <scheme val="minor"/>
      </rPr>
      <t>1</t>
    </r>
  </si>
  <si>
    <r>
      <t>*MRL (mg/L)</t>
    </r>
    <r>
      <rPr>
        <vertAlign val="superscript"/>
        <sz val="8"/>
        <rFont val="Calibri"/>
        <family val="2"/>
        <scheme val="minor"/>
      </rPr>
      <t>1</t>
    </r>
    <r>
      <rPr>
        <sz val="8"/>
        <rFont val="Calibri"/>
        <family val="2"/>
        <scheme val="minor"/>
      </rPr>
      <t xml:space="preserve"> is the new MRL after the addition of acid for Total Metal Samples*</t>
    </r>
  </si>
  <si>
    <t>Measured amount (g)</t>
  </si>
  <si>
    <t>mg/kg</t>
  </si>
  <si>
    <t># of averaged measurements</t>
  </si>
  <si>
    <t>NIST 2709a</t>
  </si>
  <si>
    <t>Theoretical</t>
  </si>
  <si>
    <t>N.A.</t>
  </si>
  <si>
    <t>Reported range</t>
  </si>
  <si>
    <t>0.14-4.1</t>
  </si>
  <si>
    <t>13000-17000</t>
  </si>
  <si>
    <t>6.4-10</t>
  </si>
  <si>
    <t>350-400</t>
  </si>
  <si>
    <t>12000-14000</t>
  </si>
  <si>
    <t>0.33-0.66</t>
  </si>
  <si>
    <t>8.2-13</t>
  </si>
  <si>
    <t>46-67</t>
  </si>
  <si>
    <t>24-28</t>
  </si>
  <si>
    <t>22000-26000</t>
  </si>
  <si>
    <t>2600-4000</t>
  </si>
  <si>
    <t>9700-11000</t>
  </si>
  <si>
    <t>380-450</t>
  </si>
  <si>
    <t>460-610</t>
  </si>
  <si>
    <t>59-71</t>
  </si>
  <si>
    <t>8.1-11</t>
  </si>
  <si>
    <t>1.2-1.5</t>
  </si>
  <si>
    <t>0.69-1.9</t>
  </si>
  <si>
    <t>43-71</t>
  </si>
  <si>
    <t>69-87</t>
  </si>
  <si>
    <t>Avg recovery (%)</t>
  </si>
  <si>
    <t>-</t>
  </si>
  <si>
    <t>Recovery (%)</t>
  </si>
  <si>
    <t>Note:</t>
  </si>
  <si>
    <t>Data taken from Table 3 and table 4 of the 2709a NIST certificate for acid extractable elements</t>
  </si>
  <si>
    <t xml:space="preserve">Equipment Full Calibration/Re-sloping Existing Calibration </t>
  </si>
  <si>
    <t>Initial Calibration Verification (ICV)</t>
  </si>
  <si>
    <t>Low-concentration calibration check</t>
  </si>
  <si>
    <t>Initial and Continuous Calibration Blanks (ICB &amp; CCB)</t>
  </si>
  <si>
    <t>Continuing calibration verification (CCV)</t>
  </si>
  <si>
    <t>Laboratory control sample (LCS)</t>
  </si>
  <si>
    <t>Matrix Spike (MS)/ Matrix Spike Duplicate (MSD)</t>
  </si>
  <si>
    <t>Method blank (MB)</t>
  </si>
  <si>
    <t>Inter-element/interference check standards (ICS)</t>
  </si>
  <si>
    <t>Dilution Test (DT)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</si>
  <si>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</si>
  <si>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</si>
  <si>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</si>
  <si>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</si>
  <si>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</si>
  <si>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Ca </t>
  </si>
  <si>
    <t xml:space="preserve">Cd </t>
  </si>
  <si>
    <t xml:space="preserve">Co </t>
  </si>
  <si>
    <t xml:space="preserve">Cr </t>
  </si>
  <si>
    <t xml:space="preserve">Cu </t>
  </si>
  <si>
    <t xml:space="preserve">Fe </t>
  </si>
  <si>
    <t xml:space="preserve">K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</si>
  <si>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</si>
  <si>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</si>
  <si>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</si>
  <si>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</si>
  <si>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</si>
  <si>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</si>
  <si>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</si>
  <si>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</si>
  <si>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</si>
  <si>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</si>
  <si>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Se </t>
  </si>
  <si>
    <t xml:space="preserve">Sr </t>
  </si>
  <si>
    <t xml:space="preserve">Ti </t>
  </si>
  <si>
    <t xml:space="preserve">V </t>
  </si>
  <si>
    <t xml:space="preserve">Zn </t>
  </si>
  <si>
    <t>MDL (mg/L)</t>
  </si>
  <si>
    <t xml:space="preserve"> Inductively Coupled Plasma-Optical Emission Spectrometer (ICP-AES) Samples Review</t>
  </si>
  <si>
    <t>Instrument: Inductively coupled plasma-optical emission spectrometer (ICP-OES) Agilent 5900</t>
  </si>
  <si>
    <t>Solution Label</t>
  </si>
  <si>
    <t>Correlation</t>
  </si>
  <si>
    <t>ICP-OES MDL</t>
  </si>
  <si>
    <t>ICP-OES MRL</t>
  </si>
  <si>
    <t>Raw Data Sheets: US-EPA CHL Facility Lab 131 Inductively coupled plasma-optical emission spectrometer (ICP-OES) Agilent 5900</t>
  </si>
  <si>
    <t>69-89</t>
  </si>
  <si>
    <t>0.50-0.72</t>
  </si>
  <si>
    <t>&lt;3.326</t>
  </si>
  <si>
    <t>Data taken from 10x dilution and normalized by multiplying by 10</t>
  </si>
  <si>
    <t>&lt;4.495</t>
  </si>
  <si>
    <r>
      <t>Sample IDs</t>
    </r>
    <r>
      <rPr>
        <sz val="11"/>
        <rFont val="Times New Roman"/>
        <family val="1"/>
      </rPr>
      <t xml:space="preserve"> </t>
    </r>
  </si>
  <si>
    <t>Field Duplicates (FD)</t>
  </si>
  <si>
    <t>Mine Tailings Sample</t>
  </si>
  <si>
    <t>Sample 1</t>
  </si>
  <si>
    <t>BigRiverDoeRun-SED-S1-1</t>
  </si>
  <si>
    <t>BigRiverDoeRun-SED-S1-2</t>
  </si>
  <si>
    <t>BigRiverDoeRun-SED-S1-3</t>
  </si>
  <si>
    <t>BigRiverDoeRun-SED-S2-1</t>
  </si>
  <si>
    <t>BigRiverDoeRun-SED-S2-2</t>
  </si>
  <si>
    <t>BigRiverDoeRun-SED-S2-3</t>
  </si>
  <si>
    <t>BigRiverDoeRun-SED-S3-1</t>
  </si>
  <si>
    <t>BigRiverDoeRun-SED-S3-2</t>
  </si>
  <si>
    <t>BigRiverDoeRun-SED-S3-3</t>
  </si>
  <si>
    <t>CherokeeCounty-SED-S1-1</t>
  </si>
  <si>
    <t>CherokeeCounty-SED-S1-2</t>
  </si>
  <si>
    <t>CherokeeCounty-SED-S1-3</t>
  </si>
  <si>
    <t>CherokeeCounty-SED-S2-1</t>
  </si>
  <si>
    <t>CherokeeCounty-SED-S2-2</t>
  </si>
  <si>
    <t>CherokeeCounty-SED-S2-3</t>
  </si>
  <si>
    <t>CherokeeCounty-SED-S3-1</t>
  </si>
  <si>
    <t>CherokeeCounty-SED-S3-2</t>
  </si>
  <si>
    <t>CherokeeCounty-SED-S3-3</t>
  </si>
  <si>
    <t>05162024- SRM  2709a</t>
  </si>
  <si>
    <t>TSMD Mine Tailings_05220224-ICP-OES-TO-178-383 data report</t>
  </si>
  <si>
    <t>Sequence Name: Mine Tailings Sediment 1</t>
  </si>
  <si>
    <t>Digested By: Trevor Henry on 5/16/2024  electronic Lab book K-LRTD-NB-2993| Analyzed By: Mahendranath Arambewela. The final volume of the digestion was 50 mL.</t>
  </si>
  <si>
    <t>Chain of Custody:  Chat COC 3/29/2024</t>
  </si>
  <si>
    <t xml:space="preserve">45  Sc  [ No Gas ] </t>
  </si>
  <si>
    <t xml:space="preserve">71  Ga  [ No Gas ] </t>
  </si>
  <si>
    <t xml:space="preserve">72  Ge  [ No Gas ] </t>
  </si>
  <si>
    <t xml:space="preserve">85  Rb  [ No Gas ] </t>
  </si>
  <si>
    <t xml:space="preserve">89  Y  [ No Gas ] </t>
  </si>
  <si>
    <t xml:space="preserve">90  Zr  [ No Gas ] </t>
  </si>
  <si>
    <t xml:space="preserve">93  Nb  [ No Gas ] </t>
  </si>
  <si>
    <t xml:space="preserve">115  In  [ No Gas ] </t>
  </si>
  <si>
    <t xml:space="preserve">118  Sn  [ No Gas ] </t>
  </si>
  <si>
    <t xml:space="preserve">125  Te  [ No Gas ] </t>
  </si>
  <si>
    <t xml:space="preserve">133  Cs  [ No Gas ] </t>
  </si>
  <si>
    <t xml:space="preserve">139  La  [ No Gas ] </t>
  </si>
  <si>
    <t xml:space="preserve">140  Ce  [ No Gas ] </t>
  </si>
  <si>
    <t xml:space="preserve">141  Pr  [ No Gas ] </t>
  </si>
  <si>
    <t xml:space="preserve">146  Nd  [ No Gas ] </t>
  </si>
  <si>
    <t xml:space="preserve">147  Sm  [ No Gas ] </t>
  </si>
  <si>
    <t xml:space="preserve">153  Eu  [ No Gas ] </t>
  </si>
  <si>
    <t xml:space="preserve">157  Gd  [ No Gas ] </t>
  </si>
  <si>
    <t xml:space="preserve">159  Tb  [ No Gas ] </t>
  </si>
  <si>
    <t xml:space="preserve">163  Dy  [ No Gas ] </t>
  </si>
  <si>
    <t xml:space="preserve">165  Ho  [ No Gas ] </t>
  </si>
  <si>
    <t xml:space="preserve">166  Er  [ No Gas ] </t>
  </si>
  <si>
    <t xml:space="preserve">169  Tm  [ No Gas ] </t>
  </si>
  <si>
    <t xml:space="preserve">172  Yb  [ No Gas ] </t>
  </si>
  <si>
    <t xml:space="preserve">175  Lu  [ No Gas ] </t>
  </si>
  <si>
    <t xml:space="preserve">178  Hf  [ No Gas ] </t>
  </si>
  <si>
    <t xml:space="preserve">181  Ta  [ No Gas ] </t>
  </si>
  <si>
    <t xml:space="preserve">182  W  [ No Gas ] </t>
  </si>
  <si>
    <t xml:space="preserve">209  Bi  [ No Gas ] </t>
  </si>
  <si>
    <t xml:space="preserve">232  Th  [ No Gas ] </t>
  </si>
  <si>
    <t xml:space="preserve">238  U  [ No Gas ] </t>
  </si>
  <si>
    <t>10x BigRiverDoeRun-SED-S1-1</t>
  </si>
  <si>
    <t>10x BigRiverDoeRun-SED-S1-2</t>
  </si>
  <si>
    <t>10x BigRiverDoeRun-SED-S1-3</t>
  </si>
  <si>
    <t>10x BigRiverDoeRun-SED-S2-1</t>
  </si>
  <si>
    <t>10x BigRiverDoeRun-SED-S2-2</t>
  </si>
  <si>
    <t>10x BigRiverDoeRun-SED-S2-3</t>
  </si>
  <si>
    <t>10x BigRiverDoeRun-SED-S3-1</t>
  </si>
  <si>
    <t>10x BigRiverDoeRun-SED-S3-2</t>
  </si>
  <si>
    <t>10x BigRiverDoeRun-SED-S3-3</t>
  </si>
  <si>
    <t>10x CherokeeCounty-SED-S1-1</t>
  </si>
  <si>
    <t>10x CherokeeCounty-SED-S1-2</t>
  </si>
  <si>
    <t>&lt;0.000</t>
  </si>
  <si>
    <t>10x CherokeeCounty-SED-S1-3</t>
  </si>
  <si>
    <t>10x CherokeeCounty-SED-S2-1</t>
  </si>
  <si>
    <t>10x CherokeeCounty-SED-S2-2</t>
  </si>
  <si>
    <t>10x CherokeeCounty-SED-S2-3</t>
  </si>
  <si>
    <t>10x CherokeeCounty-SED-S3-1</t>
  </si>
  <si>
    <t>10x CherokeeCounty-SED-S3-2</t>
  </si>
  <si>
    <t>10x CherokeeCounty-SED-S3-3</t>
  </si>
  <si>
    <t>10x 06132024- SRM 2709a</t>
  </si>
  <si>
    <t>ug/kg</t>
  </si>
  <si>
    <t>06132024- SRM 2709a</t>
  </si>
  <si>
    <t>Calibration failed</t>
  </si>
  <si>
    <t xml:space="preserve">101  Ru  [ No Gas ] </t>
  </si>
  <si>
    <t xml:space="preserve">103  Rh  [ No Gas ] </t>
  </si>
  <si>
    <t xml:space="preserve">104  Pd  [ No Gas ] </t>
  </si>
  <si>
    <t xml:space="preserve">105  Pd  [ No Gas ] </t>
  </si>
  <si>
    <t xml:space="preserve">110  Pd  [ No Gas ] </t>
  </si>
  <si>
    <t xml:space="preserve">193  Ir  [ No Gas ] </t>
  </si>
  <si>
    <t xml:space="preserve">195  Pt  [ No Gas ] </t>
  </si>
  <si>
    <t>BigRiverDoeRun-SED-S1</t>
  </si>
  <si>
    <t>BigRiverDoeRun-SED-S2</t>
  </si>
  <si>
    <t>BigRiverDoeRun-SED-S3</t>
  </si>
  <si>
    <t>CherokeeCounty-SED-S1</t>
  </si>
  <si>
    <t>CherokeeCounty-SED-S2</t>
  </si>
  <si>
    <t>CherokeeCounty-SED-S3</t>
  </si>
  <si>
    <t>09032024_ICP-OES-TO 178-462 Data Report</t>
  </si>
  <si>
    <t>Sequence Name: Valmont Fly Ash</t>
  </si>
  <si>
    <t>Digested By: Trevor Henry on 8/29/2024  electronic Lab book K-LRTD-NB-2993| Analyzed By: Mahendranath Arambewela. The final volume of the digestion was 50 mL.</t>
  </si>
  <si>
    <t>Chain of Custody:  Not Received</t>
  </si>
  <si>
    <t>NaCl Filtered Residue</t>
  </si>
  <si>
    <t>Analysis of Filtered NaCl</t>
  </si>
  <si>
    <t>LiBs-Res-NaCl-1</t>
  </si>
  <si>
    <t>LiBs-Res-NaCl-2</t>
  </si>
  <si>
    <t>LiBs-Res-NaCl-3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</si>
</sst>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 Light"/>
      <family val="1"/>
      <scheme val="major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rgb="FF000000"/>
      <name val="Microsoft Sans Serif"/>
      <family val="2"/>
    </font>
    <font>
      <b/>
      <sz val="9"/>
      <color theme="1"/>
      <name val="Microsoft Sans Serif"/>
      <family val="2"/>
    </font>
    <font>
      <sz val="9"/>
      <color rgb="FF000000"/>
      <name val="Microsoft Sans Serif"/>
      <family val="2"/>
    </font>
    <font>
      <sz val="9"/>
      <name val="Microsoft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top"/>
    </xf>
    <xf numFmtId="9" fontId="17" fillId="0" borderId="0" applyFont="0" applyFill="0" applyBorder="0" applyAlignment="0" applyProtection="0"/>
  </cellStyleXfs>
  <cellXfs count="153">
    <xf numFmtId="0" fontId="0" fillId="0" borderId="0" xfId="0"/>
    <xf numFmtId="0" fontId="3" fillId="2" borderId="0" xfId="0" applyFont="1" applyFill="1" applyBorder="1" applyAlignment="1" applyProtection="1">
      <alignment vertical="center"/>
      <protection locked="0"/>
    </xf>
    <xf numFmtId="0" fontId="0" fillId="2" borderId="0" xfId="0" applyFill="1"/>
    <xf numFmtId="0" fontId="1" fillId="2" borderId="0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5" fillId="0" borderId="3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164" fontId="8" fillId="0" borderId="6" xfId="1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0" fontId="1" fillId="0" borderId="9" xfId="0" applyFont="1" applyBorder="1"/>
    <xf numFmtId="164" fontId="6" fillId="2" borderId="4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1" fillId="2" borderId="9" xfId="0" applyFont="1" applyFill="1" applyBorder="1"/>
    <xf numFmtId="0" fontId="0" fillId="2" borderId="9" xfId="0" applyFill="1" applyBorder="1"/>
    <xf numFmtId="164" fontId="8" fillId="2" borderId="8" xfId="1" applyNumberFormat="1" applyFont="1" applyFill="1" applyBorder="1" applyAlignment="1">
      <alignment horizontal="center" vertical="top"/>
    </xf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0" fontId="0" fillId="2" borderId="0" xfId="0" applyFont="1" applyFill="1"/>
    <xf numFmtId="164" fontId="6" fillId="2" borderId="0" xfId="0" applyNumberFormat="1" applyFont="1" applyFill="1" applyBorder="1" applyAlignment="1">
      <alignment horizontal="center"/>
    </xf>
    <xf numFmtId="0" fontId="11" fillId="2" borderId="0" xfId="0" applyNumberFormat="1" applyFont="1" applyFill="1" applyBorder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0" fontId="14" fillId="2" borderId="0" xfId="0" applyFont="1" applyFill="1" applyBorder="1" applyAlignment="1" applyProtection="1">
      <alignment horizontal="left" vertical="center"/>
      <protection locked="0"/>
    </xf>
    <xf numFmtId="0" fontId="0" fillId="2" borderId="9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0" fillId="0" borderId="0" xfId="0" applyFont="1"/>
    <xf numFmtId="0" fontId="0" fillId="0" borderId="0" xfId="0" quotePrefix="1"/>
    <xf numFmtId="0" fontId="15" fillId="3" borderId="0" xfId="0" applyFont="1" applyFill="1" applyBorder="1" applyAlignment="1">
      <alignment horizontal="left"/>
    </xf>
    <xf numFmtId="0" fontId="16" fillId="3" borderId="0" xfId="0" applyFont="1" applyFill="1" applyBorder="1" applyAlignment="1">
      <alignment horizontal="center"/>
    </xf>
    <xf numFmtId="0" fontId="0" fillId="3" borderId="0" xfId="0" applyFill="1"/>
    <xf numFmtId="0" fontId="5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2" fontId="9" fillId="3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 applyProtection="1">
      <alignment vertical="center"/>
      <protection locked="0"/>
    </xf>
    <xf numFmtId="0" fontId="0" fillId="3" borderId="2" xfId="0" applyFill="1" applyBorder="1"/>
    <xf numFmtId="0" fontId="10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0" xfId="0" applyFont="1" applyFill="1"/>
    <xf numFmtId="166" fontId="4" fillId="0" borderId="0" xfId="0" applyNumberFormat="1" applyFont="1" applyAlignment="1">
      <alignment horizontal="center" vertical="center"/>
    </xf>
    <xf numFmtId="0" fontId="5" fillId="0" borderId="1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6" fontId="6" fillId="0" borderId="8" xfId="0" applyNumberFormat="1" applyFont="1" applyBorder="1" applyAlignment="1">
      <alignment horizontal="center"/>
    </xf>
    <xf numFmtId="0" fontId="9" fillId="3" borderId="0" xfId="0" quotePrefix="1" applyFont="1" applyFill="1" applyAlignment="1">
      <alignment horizontal="center"/>
    </xf>
    <xf numFmtId="0" fontId="4" fillId="0" borderId="0" xfId="0" applyFont="1" applyFill="1"/>
    <xf numFmtId="167" fontId="6" fillId="0" borderId="8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164" fontId="6" fillId="2" borderId="11" xfId="0" applyNumberFormat="1" applyFont="1" applyFill="1" applyBorder="1" applyAlignment="1">
      <alignment horizontal="center"/>
    </xf>
    <xf numFmtId="164" fontId="8" fillId="2" borderId="12" xfId="1" applyNumberFormat="1" applyFont="1" applyFill="1" applyBorder="1" applyAlignment="1">
      <alignment horizontal="center" vertical="top"/>
    </xf>
    <xf numFmtId="164" fontId="6" fillId="0" borderId="11" xfId="0" applyNumberFormat="1" applyFont="1" applyBorder="1" applyAlignment="1">
      <alignment horizontal="center"/>
    </xf>
    <xf numFmtId="164" fontId="8" fillId="0" borderId="13" xfId="1" applyNumberFormat="1" applyFont="1" applyBorder="1" applyAlignment="1">
      <alignment horizontal="center" vertical="top"/>
    </xf>
    <xf numFmtId="164" fontId="6" fillId="0" borderId="12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9" xfId="0" applyFill="1" applyBorder="1" applyAlignment="1">
      <alignment horizontal="center" vertical="center"/>
    </xf>
    <xf numFmtId="0" fontId="0" fillId="0" borderId="0" xfId="0" quotePrefix="1" applyFont="1"/>
    <xf numFmtId="0" fontId="1" fillId="0" borderId="0" xfId="0" applyFont="1" applyBorder="1"/>
    <xf numFmtId="0" fontId="4" fillId="3" borderId="0" xfId="0" applyFont="1" applyFill="1"/>
    <xf numFmtId="0" fontId="4" fillId="4" borderId="0" xfId="0" applyFont="1" applyFill="1" applyAlignment="1">
      <alignment horizontal="center" vertical="center"/>
    </xf>
    <xf numFmtId="9" fontId="4" fillId="3" borderId="0" xfId="0" applyNumberFormat="1" applyFont="1" applyFill="1" applyAlignment="1">
      <alignment horizontal="center"/>
    </xf>
    <xf numFmtId="2" fontId="4" fillId="4" borderId="0" xfId="0" applyNumberFormat="1" applyFont="1" applyFill="1" applyAlignment="1">
      <alignment horizontal="center" vertical="center"/>
    </xf>
    <xf numFmtId="1" fontId="4" fillId="4" borderId="0" xfId="0" applyNumberFormat="1" applyFont="1" applyFill="1" applyAlignment="1">
      <alignment horizontal="center" vertical="center"/>
    </xf>
    <xf numFmtId="167" fontId="4" fillId="4" borderId="0" xfId="0" applyNumberFormat="1" applyFont="1" applyFill="1" applyAlignment="1">
      <alignment horizontal="center" vertical="center"/>
    </xf>
    <xf numFmtId="166" fontId="4" fillId="4" borderId="0" xfId="0" applyNumberFormat="1" applyFont="1" applyFill="1" applyAlignment="1">
      <alignment horizontal="center" vertical="center"/>
    </xf>
    <xf numFmtId="2" fontId="4" fillId="4" borderId="0" xfId="0" quotePrefix="1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right"/>
    </xf>
    <xf numFmtId="0" fontId="4" fillId="4" borderId="0" xfId="0" quotePrefix="1" applyFont="1" applyFill="1" applyAlignment="1">
      <alignment horizontal="center" vertical="center"/>
    </xf>
    <xf numFmtId="0" fontId="4" fillId="0" borderId="0" xfId="0" quotePrefix="1" applyFont="1" applyFill="1" applyAlignment="1">
      <alignment horizontal="left" vertical="center"/>
    </xf>
    <xf numFmtId="1" fontId="4" fillId="4" borderId="0" xfId="0" quotePrefix="1" applyNumberFormat="1" applyFont="1" applyFill="1" applyAlignment="1">
      <alignment horizontal="center" vertical="center"/>
    </xf>
    <xf numFmtId="9" fontId="4" fillId="4" borderId="0" xfId="2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167" fontId="4" fillId="4" borderId="0" xfId="0" quotePrefix="1" applyNumberFormat="1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 applyProtection="1">
      <alignment horizontal="left" vertical="center"/>
      <protection locked="0"/>
    </xf>
    <xf numFmtId="166" fontId="4" fillId="0" borderId="0" xfId="1" applyNumberFormat="1" applyFont="1" applyBorder="1" applyAlignment="1">
      <alignment horizontal="left" vertical="top"/>
    </xf>
    <xf numFmtId="166" fontId="19" fillId="0" borderId="0" xfId="1" applyNumberFormat="1" applyFont="1" applyBorder="1" applyAlignment="1">
      <alignment horizontal="left" vertical="top"/>
    </xf>
    <xf numFmtId="2" fontId="19" fillId="0" borderId="0" xfId="1" applyNumberFormat="1" applyFont="1" applyBorder="1" applyAlignment="1" applyProtection="1">
      <alignment horizontal="center" vertical="top"/>
      <protection locked="0"/>
    </xf>
    <xf numFmtId="0" fontId="19" fillId="3" borderId="0" xfId="1" applyFont="1" applyFill="1" applyBorder="1">
      <alignment vertical="top"/>
    </xf>
    <xf numFmtId="0" fontId="18" fillId="3" borderId="0" xfId="1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166" fontId="8" fillId="2" borderId="8" xfId="1" applyNumberFormat="1" applyFont="1" applyFill="1" applyBorder="1" applyAlignment="1">
      <alignment horizontal="center" vertical="top"/>
    </xf>
    <xf numFmtId="165" fontId="8" fillId="2" borderId="8" xfId="1" applyNumberFormat="1" applyFont="1" applyFill="1" applyBorder="1" applyAlignment="1">
      <alignment horizontal="center" vertical="top"/>
    </xf>
    <xf numFmtId="2" fontId="19" fillId="0" borderId="0" xfId="1" applyNumberFormat="1" applyFont="1" applyBorder="1" applyAlignment="1">
      <alignment horizontal="center" vertical="top"/>
    </xf>
    <xf numFmtId="166" fontId="1" fillId="2" borderId="0" xfId="0" applyNumberFormat="1" applyFont="1" applyFill="1" applyAlignment="1">
      <alignment horizontal="center"/>
    </xf>
    <xf numFmtId="0" fontId="1" fillId="2" borderId="0" xfId="0" applyFont="1" applyFill="1"/>
    <xf numFmtId="0" fontId="18" fillId="3" borderId="0" xfId="1" applyFont="1" applyFill="1" applyBorder="1">
      <alignment vertical="top"/>
    </xf>
    <xf numFmtId="166" fontId="8" fillId="0" borderId="6" xfId="1" applyNumberFormat="1" applyFont="1" applyBorder="1" applyAlignment="1">
      <alignment horizontal="center" vertical="top"/>
    </xf>
    <xf numFmtId="2" fontId="8" fillId="0" borderId="6" xfId="1" applyNumberFormat="1" applyFont="1" applyBorder="1" applyAlignment="1">
      <alignment horizontal="center" vertical="top"/>
    </xf>
    <xf numFmtId="167" fontId="8" fillId="0" borderId="6" xfId="1" applyNumberFormat="1" applyFont="1" applyBorder="1" applyAlignment="1">
      <alignment horizontal="center" vertical="top"/>
    </xf>
    <xf numFmtId="165" fontId="8" fillId="0" borderId="6" xfId="1" applyNumberFormat="1" applyFont="1" applyBorder="1" applyAlignment="1">
      <alignment horizontal="center" vertical="top"/>
    </xf>
    <xf numFmtId="166" fontId="8" fillId="0" borderId="13" xfId="1" applyNumberFormat="1" applyFont="1" applyBorder="1" applyAlignment="1">
      <alignment horizontal="center" vertical="top"/>
    </xf>
    <xf numFmtId="9" fontId="4" fillId="4" borderId="0" xfId="2" quotePrefix="1" applyFont="1" applyFill="1" applyAlignment="1">
      <alignment horizontal="center" vertical="center"/>
    </xf>
    <xf numFmtId="49" fontId="0" fillId="0" borderId="5" xfId="0" applyNumberFormat="1" applyBorder="1"/>
    <xf numFmtId="22" fontId="0" fillId="0" borderId="6" xfId="0" applyNumberFormat="1" applyBorder="1"/>
    <xf numFmtId="0" fontId="0" fillId="0" borderId="6" xfId="0" applyBorder="1"/>
    <xf numFmtId="0" fontId="0" fillId="0" borderId="13" xfId="0" applyBorder="1"/>
    <xf numFmtId="0" fontId="20" fillId="0" borderId="14" xfId="0" applyFont="1" applyBorder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10" fontId="4" fillId="0" borderId="0" xfId="0" applyNumberFormat="1" applyFont="1" applyFill="1" applyAlignment="1">
      <alignment horizontal="center"/>
    </xf>
    <xf numFmtId="9" fontId="4" fillId="0" borderId="0" xfId="0" applyNumberFormat="1" applyFont="1" applyFill="1" applyAlignment="1">
      <alignment horizontal="center"/>
    </xf>
    <xf numFmtId="0" fontId="0" fillId="0" borderId="0" xfId="0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4" fontId="14" fillId="0" borderId="6" xfId="0" applyNumberFormat="1" applyFont="1" applyBorder="1" applyAlignment="1">
      <alignment horizontal="center" vertical="center"/>
    </xf>
    <xf numFmtId="0" fontId="0" fillId="5" borderId="0" xfId="0" applyFill="1"/>
    <xf numFmtId="0" fontId="20" fillId="0" borderId="0" xfId="0" applyFont="1"/>
    <xf numFmtId="0" fontId="21" fillId="0" borderId="0" xfId="0" applyFont="1" applyAlignment="1">
      <alignment vertical="center"/>
    </xf>
    <xf numFmtId="0" fontId="23" fillId="0" borderId="0" xfId="0" applyFont="1"/>
    <xf numFmtId="0" fontId="22" fillId="0" borderId="0" xfId="0" applyFont="1" applyAlignment="1">
      <alignment vertical="center" wrapText="1"/>
    </xf>
    <xf numFmtId="0" fontId="23" fillId="0" borderId="0" xfId="0" applyFont="1" applyAlignment="1">
      <alignment wrapText="1"/>
    </xf>
    <xf numFmtId="0" fontId="24" fillId="0" borderId="0" xfId="0" applyFont="1"/>
    <xf numFmtId="0" fontId="22" fillId="0" borderId="0" xfId="0" applyFont="1" applyAlignment="1">
      <alignment vertical="center"/>
    </xf>
    <xf numFmtId="2" fontId="0" fillId="0" borderId="0" xfId="0" applyNumberFormat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 wrapText="1"/>
    </xf>
    <xf numFmtId="12" fontId="25" fillId="6" borderId="15" xfId="0" applyNumberFormat="1" applyFont="1" applyFill="1" applyBorder="1" applyAlignment="1">
      <alignment horizontal="center" vertical="center"/>
    </xf>
    <xf numFmtId="0" fontId="25" fillId="6" borderId="4" xfId="0" applyFont="1" applyFill="1" applyBorder="1" applyAlignment="1">
      <alignment horizontal="left" vertical="center"/>
    </xf>
    <xf numFmtId="0" fontId="25" fillId="6" borderId="11" xfId="0" applyFont="1" applyFill="1" applyBorder="1" applyAlignment="1">
      <alignment horizontal="left" vertical="center"/>
    </xf>
    <xf numFmtId="0" fontId="26" fillId="0" borderId="16" xfId="0" applyFont="1" applyBorder="1" applyAlignment="1">
      <alignment horizontal="left"/>
    </xf>
    <xf numFmtId="0" fontId="27" fillId="6" borderId="4" xfId="0" applyFont="1" applyFill="1" applyBorder="1" applyAlignment="1">
      <alignment horizontal="center" vertical="center"/>
    </xf>
    <xf numFmtId="0" fontId="27" fillId="6" borderId="8" xfId="0" applyFont="1" applyFill="1" applyBorder="1" applyAlignment="1">
      <alignment horizontal="center" vertical="center"/>
    </xf>
    <xf numFmtId="0" fontId="28" fillId="0" borderId="6" xfId="0" applyFont="1" applyBorder="1" applyAlignment="1">
      <alignment horizontal="left" vertical="top"/>
    </xf>
    <xf numFmtId="0" fontId="28" fillId="7" borderId="6" xfId="0" applyFont="1" applyFill="1" applyBorder="1" applyAlignment="1">
      <alignment horizontal="right" vertical="top"/>
    </xf>
    <xf numFmtId="0" fontId="28" fillId="5" borderId="6" xfId="0" applyFont="1" applyFill="1" applyBorder="1" applyAlignment="1">
      <alignment horizontal="right" vertical="top"/>
    </xf>
    <xf numFmtId="12" fontId="10" fillId="3" borderId="0" xfId="0" applyNumberFormat="1" applyFont="1" applyFill="1" applyAlignment="1">
      <alignment horizontal="center"/>
    </xf>
    <xf numFmtId="12" fontId="9" fillId="3" borderId="0" xfId="0" applyNumberFormat="1" applyFont="1" applyFill="1" applyAlignment="1">
      <alignment horizontal="center"/>
    </xf>
    <xf numFmtId="2" fontId="0" fillId="0" borderId="0" xfId="0" applyNumberFormat="1"/>
    <xf numFmtId="0" fontId="0" fillId="0" borderId="0" xfId="0" applyNumberFormat="1" applyAlignment="1">
      <alignment horizontal="center"/>
    </xf>
    <xf numFmtId="2" fontId="4" fillId="8" borderId="0" xfId="0" applyNumberFormat="1" applyFont="1" applyFill="1" applyAlignment="1">
      <alignment horizontal="center" vertical="center"/>
    </xf>
    <xf numFmtId="2" fontId="0" fillId="8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12" fontId="25" fillId="6" borderId="4" xfId="0" applyNumberFormat="1" applyFont="1" applyFill="1" applyBorder="1" applyAlignment="1">
      <alignment horizontal="center" vertical="center"/>
    </xf>
    <xf numFmtId="0" fontId="25" fillId="6" borderId="17" xfId="0" applyFont="1" applyFill="1" applyBorder="1" applyAlignment="1">
      <alignment horizontal="center" vertical="center"/>
    </xf>
    <xf numFmtId="0" fontId="0" fillId="9" borderId="6" xfId="0" applyFill="1" applyBorder="1"/>
    <xf numFmtId="165" fontId="20" fillId="0" borderId="14" xfId="0" applyNumberFormat="1" applyFont="1" applyBorder="1" applyAlignment="1">
      <alignment horizontal="right" vertical="center" wrapText="1"/>
    </xf>
    <xf numFmtId="0" fontId="10" fillId="3" borderId="0" xfId="0" applyFont="1" applyFill="1" applyAlignment="1">
      <alignment horizontal="center" vertical="center"/>
    </xf>
    <xf numFmtId="0" fontId="0" fillId="2" borderId="0" xfId="0" applyFill="1" applyAlignment="1">
      <alignment horizontal="left"/>
    </xf>
    <xf numFmtId="0" fontId="10" fillId="3" borderId="0" xfId="0" applyFont="1" applyFill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wrapText="1"/>
    </xf>
    <xf numFmtId="0" fontId="22" fillId="0" borderId="0" xfId="0" applyFont="1" applyAlignment="1">
      <alignment wrapText="1"/>
    </xf>
  </cellXfs>
  <cellStyles count="3">
    <cellStyle name="Normal" xfId="0" builtinId="0"/>
    <cellStyle name="Normal 2 2" xfId="1" xr:uid="{00000000-0005-0000-0000-000001000000}"/>
    <cellStyle name="Percent" xfId="2" builtinId="5"/>
  </cellStyles>
  <dxfs count="5">
    <dxf>
      <fill>
        <patternFill>
          <bgColor theme="4" tint="0.39994506668294322"/>
        </patternFill>
      </fill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9"/>
  <sheetViews>
    <sheetView zoomScaleNormal="100" workbookViewId="0">
      <pane ySplit="1" topLeftCell="A2" activePane="bottomLeft" state="frozenSplit"/>
      <selection pane="bottomLeft" activeCell="A2" sqref="A2"/>
    </sheetView>
  </sheetViews>
  <sheetFormatPr defaultColWidth="9.28515625" defaultRowHeight="15" x14ac:dyDescent="0.25"/>
  <cols>
    <col min="1" max="1" width="32.140625" style="2" customWidth="1"/>
    <col min="2" max="2" width="17.5703125" style="2" customWidth="1"/>
    <col min="3" max="3" width="21.28515625" style="2" customWidth="1"/>
    <col min="4" max="4" width="17" style="2" customWidth="1"/>
    <col min="5" max="5" width="16" style="2" customWidth="1"/>
    <col min="6" max="31" width="9.28515625" style="2"/>
    <col min="32" max="32" width="14.7109375" style="2" customWidth="1"/>
    <col min="33" max="33" width="13.7109375" style="2" customWidth="1"/>
    <col min="34" max="34" width="21.7109375" style="2" customWidth="1"/>
    <col min="35" max="35" width="22.7109375" style="2" customWidth="1"/>
    <col min="36" max="16384" width="9.28515625" style="2"/>
  </cols>
  <sheetData>
    <row r="1" spans="1:38" ht="15.75" x14ac:dyDescent="0.25">
      <c r="A1" s="31" t="s">
        <v>202</v>
      </c>
      <c r="B1" s="32"/>
      <c r="C1" s="32"/>
      <c r="D1" s="33"/>
      <c r="E1" s="62"/>
      <c r="AJ1"/>
      <c r="AK1"/>
      <c r="AL1"/>
    </row>
    <row r="2" spans="1:38" x14ac:dyDescent="0.25">
      <c r="A2" s="29"/>
      <c r="B2"/>
      <c r="C2"/>
      <c r="D2"/>
      <c r="E2" s="62"/>
      <c r="AJ2"/>
      <c r="AK2"/>
      <c r="AL2"/>
    </row>
    <row r="3" spans="1:38" x14ac:dyDescent="0.25">
      <c r="A3" s="29"/>
      <c r="B3"/>
      <c r="C3"/>
      <c r="D3"/>
      <c r="E3" s="62"/>
      <c r="AJ3"/>
      <c r="AK3"/>
      <c r="AL3"/>
    </row>
    <row r="4" spans="1:38" x14ac:dyDescent="0.25">
      <c r="A4" s="29"/>
      <c r="B4"/>
      <c r="C4"/>
      <c r="D4"/>
      <c r="E4" s="62"/>
      <c r="AJ4"/>
      <c r="AK4"/>
      <c r="AL4"/>
    </row>
    <row r="5" spans="1:38" ht="28.5" customHeight="1" x14ac:dyDescent="0.25">
      <c r="A5" s="34" t="s">
        <v>0</v>
      </c>
      <c r="B5" s="60" t="s">
        <v>1</v>
      </c>
      <c r="C5" s="61" t="s">
        <v>2</v>
      </c>
      <c r="D5" s="61" t="s">
        <v>3</v>
      </c>
      <c r="E5" s="61" t="s">
        <v>4</v>
      </c>
      <c r="AJ5"/>
      <c r="AK5"/>
      <c r="AL5"/>
    </row>
    <row r="6" spans="1:38" x14ac:dyDescent="0.25">
      <c r="A6" s="112" t="s">
        <v>201</v>
      </c>
      <c r="B6" s="112" t="s">
        <v>106</v>
      </c>
      <c r="C6" s="113" t="s">
        <v>105</v>
      </c>
      <c r="D6" s="114"/>
      <c r="E6" s="81" t="s">
        <v>5</v>
      </c>
      <c r="AJ6"/>
      <c r="AK6"/>
      <c r="AL6"/>
    </row>
    <row r="7" spans="1:38" x14ac:dyDescent="0.25">
      <c r="A7" s="112"/>
      <c r="B7" s="112"/>
      <c r="C7" s="113"/>
      <c r="D7" s="114"/>
      <c r="E7" s="81"/>
      <c r="AJ7"/>
      <c r="AK7"/>
      <c r="AL7"/>
    </row>
    <row r="8" spans="1:38" ht="14.25" customHeight="1" x14ac:dyDescent="0.25">
      <c r="A8" s="112"/>
      <c r="B8" s="112"/>
      <c r="C8" s="113"/>
      <c r="D8" s="114"/>
      <c r="E8" s="81"/>
      <c r="AJ8"/>
      <c r="AK8"/>
      <c r="AL8"/>
    </row>
    <row r="9" spans="1:38" x14ac:dyDescent="0.25">
      <c r="A9" s="35"/>
      <c r="B9" s="36"/>
      <c r="C9" s="36"/>
      <c r="D9" s="33"/>
      <c r="E9" s="33"/>
      <c r="AJ9"/>
      <c r="AK9"/>
      <c r="AL9"/>
    </row>
    <row r="10" spans="1:38" x14ac:dyDescent="0.25">
      <c r="A10"/>
      <c r="B10"/>
      <c r="C10"/>
      <c r="D10"/>
      <c r="E10" s="62"/>
      <c r="AJ10"/>
      <c r="AK10"/>
      <c r="AL10"/>
    </row>
    <row r="11" spans="1:38" x14ac:dyDescent="0.25">
      <c r="A11" s="30"/>
      <c r="B11"/>
      <c r="C11"/>
      <c r="D11"/>
      <c r="E11" s="62"/>
      <c r="AJ11"/>
      <c r="AK11"/>
      <c r="AL11"/>
    </row>
    <row r="12" spans="1:38" x14ac:dyDescent="0.25">
      <c r="A12" s="64"/>
      <c r="B12"/>
      <c r="C12"/>
      <c r="D12"/>
      <c r="E12" s="62"/>
      <c r="AJ12"/>
      <c r="AK12"/>
      <c r="AL12"/>
    </row>
    <row r="13" spans="1:38" x14ac:dyDescent="0.25">
      <c r="A13" s="30"/>
      <c r="B13"/>
      <c r="C13"/>
      <c r="D13"/>
      <c r="E13"/>
      <c r="AJ13"/>
      <c r="AK13"/>
      <c r="AL13"/>
    </row>
    <row r="14" spans="1:38" x14ac:dyDescent="0.25">
      <c r="A14"/>
      <c r="B14"/>
      <c r="C14"/>
      <c r="D14"/>
      <c r="E14" s="62"/>
      <c r="AJ14"/>
      <c r="AK14"/>
      <c r="AL14"/>
    </row>
    <row r="15" spans="1:38" x14ac:dyDescent="0.25">
      <c r="F15"/>
      <c r="AJ15"/>
      <c r="AK15"/>
      <c r="AL15"/>
    </row>
    <row r="16" spans="1:38" x14ac:dyDescent="0.25">
      <c r="AJ16"/>
      <c r="AK16"/>
      <c r="AL16"/>
    </row>
    <row r="17" spans="32:38" x14ac:dyDescent="0.25">
      <c r="AF17"/>
      <c r="AG17"/>
      <c r="AH17"/>
      <c r="AI17"/>
      <c r="AJ17"/>
      <c r="AK17"/>
      <c r="AL17"/>
    </row>
    <row r="18" spans="32:38" x14ac:dyDescent="0.25">
      <c r="AF18"/>
      <c r="AG18"/>
      <c r="AH18"/>
      <c r="AI18"/>
      <c r="AJ18"/>
      <c r="AK18"/>
      <c r="AL18"/>
    </row>
    <row r="19" spans="32:38" x14ac:dyDescent="0.25">
      <c r="AF19"/>
      <c r="AG19"/>
      <c r="AH19"/>
      <c r="AI19"/>
      <c r="AJ19"/>
      <c r="AK19"/>
      <c r="AL19"/>
    </row>
  </sheetData>
  <phoneticPr fontId="1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6"/>
  <sheetViews>
    <sheetView zoomScaleNormal="100" workbookViewId="0">
      <selection activeCell="A20" sqref="A20"/>
    </sheetView>
  </sheetViews>
  <sheetFormatPr defaultColWidth="9.28515625" defaultRowHeight="15" x14ac:dyDescent="0.25"/>
  <cols>
    <col min="1" max="1" width="36.140625" style="2" customWidth="1"/>
    <col min="2" max="2" width="20.7109375" style="2" bestFit="1" customWidth="1"/>
    <col min="3" max="16384" width="9.28515625" style="2"/>
  </cols>
  <sheetData>
    <row r="1" spans="1:31" s="38" customFormat="1" ht="21.75" thickBot="1" x14ac:dyDescent="0.3">
      <c r="A1" s="37" t="s">
        <v>91</v>
      </c>
    </row>
    <row r="2" spans="1:31" ht="3.75" customHeight="1" x14ac:dyDescent="0.25">
      <c r="A2" s="1"/>
    </row>
    <row r="3" spans="1:31" x14ac:dyDescent="0.25">
      <c r="A3" s="3" t="s">
        <v>198</v>
      </c>
    </row>
    <row r="4" spans="1:31" x14ac:dyDescent="0.25">
      <c r="A4" s="82" t="s">
        <v>199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31" x14ac:dyDescent="0.25">
      <c r="A5" s="3" t="s">
        <v>200</v>
      </c>
    </row>
    <row r="6" spans="1:31" x14ac:dyDescent="0.25">
      <c r="A6" s="3" t="s">
        <v>6</v>
      </c>
    </row>
    <row r="7" spans="1:31" x14ac:dyDescent="0.25">
      <c r="A7" s="3" t="s">
        <v>92</v>
      </c>
    </row>
    <row r="8" spans="1:31" x14ac:dyDescent="0.25">
      <c r="A8" s="3" t="s">
        <v>7</v>
      </c>
    </row>
    <row r="9" spans="1:31" x14ac:dyDescent="0.25">
      <c r="A9" s="3" t="s">
        <v>8</v>
      </c>
    </row>
    <row r="10" spans="1:31" ht="12.75" customHeight="1" x14ac:dyDescent="0.25">
      <c r="A10" s="4"/>
    </row>
    <row r="11" spans="1:31" ht="12.75" customHeight="1" x14ac:dyDescent="0.25">
      <c r="A11" s="24" t="s">
        <v>97</v>
      </c>
    </row>
    <row r="12" spans="1:31" ht="3.75" customHeight="1" thickBot="1" x14ac:dyDescent="0.3"/>
    <row r="13" spans="1:31" ht="15" customHeight="1" x14ac:dyDescent="0.25">
      <c r="B13" s="88" t="s">
        <v>90</v>
      </c>
      <c r="C13" s="12">
        <v>3.3255313645591529E-3</v>
      </c>
      <c r="D13" s="89">
        <v>5.817279764632261E-3</v>
      </c>
      <c r="E13" s="89">
        <v>3.9661384275724255E-3</v>
      </c>
      <c r="F13" s="89">
        <v>1.4698196338553474E-2</v>
      </c>
      <c r="G13" s="12">
        <v>2.1688760530130192E-4</v>
      </c>
      <c r="H13" s="12">
        <v>1.8146118960629933E-4</v>
      </c>
      <c r="I13" s="89">
        <v>4.357768029240045E-3</v>
      </c>
      <c r="J13" s="12">
        <v>3.0672539292772398E-4</v>
      </c>
      <c r="K13" s="12">
        <v>5.2681816281015465E-4</v>
      </c>
      <c r="L13" s="89">
        <v>4.3377521060260378E-4</v>
      </c>
      <c r="M13" s="12">
        <v>1.129066128857532E-3</v>
      </c>
      <c r="N13" s="12">
        <v>1.8146118960629934E-3</v>
      </c>
      <c r="O13" s="90">
        <v>6.2369574885195428E-2</v>
      </c>
      <c r="P13" s="90">
        <v>1.8657377271917579E-3</v>
      </c>
      <c r="Q13" s="89">
        <v>4.1413607755583599E-3</v>
      </c>
      <c r="R13" s="12">
        <v>5.4004578200988367E-4</v>
      </c>
      <c r="S13" s="12">
        <v>5.8599804038352661E-4</v>
      </c>
      <c r="T13" s="89">
        <v>2.1117324925283513E-3</v>
      </c>
      <c r="U13" s="12">
        <v>1.1879423386680005E-3</v>
      </c>
      <c r="V13" s="12">
        <v>5.3703228074918037E-3</v>
      </c>
      <c r="W13" s="89">
        <v>2.8543595452103321E-3</v>
      </c>
      <c r="X13" s="12">
        <v>5.2039468031485486E-3</v>
      </c>
      <c r="Y13" s="12">
        <v>5.7259970863888249E-3</v>
      </c>
      <c r="Z13" s="12">
        <v>4.4953847710735503E-3</v>
      </c>
      <c r="AA13" s="12">
        <v>3.4086562797286165E-3</v>
      </c>
      <c r="AB13" s="12">
        <v>1.5336269646386205E-4</v>
      </c>
      <c r="AC13" s="12">
        <v>2.1688760530130192E-4</v>
      </c>
      <c r="AD13" s="12">
        <v>1.45654197444953E-3</v>
      </c>
      <c r="AE13" s="55">
        <v>3.0672539292772409E-4</v>
      </c>
    </row>
    <row r="14" spans="1:31" s="17" customFormat="1" ht="15" customHeight="1" thickBot="1" x14ac:dyDescent="0.3">
      <c r="B14" s="91" t="s">
        <v>9</v>
      </c>
      <c r="C14" s="16">
        <v>3.3255313645591526E-2</v>
      </c>
      <c r="D14" s="92">
        <v>5.8172797646322612E-2</v>
      </c>
      <c r="E14" s="16">
        <v>3.9661384275724257E-2</v>
      </c>
      <c r="F14" s="93">
        <v>0.14698196338553474</v>
      </c>
      <c r="G14" s="16">
        <v>2.168876053013019E-3</v>
      </c>
      <c r="H14" s="16">
        <v>1.8146118960629934E-3</v>
      </c>
      <c r="I14" s="92">
        <v>4.3577680292400452E-2</v>
      </c>
      <c r="J14" s="16">
        <v>3.06725392927724E-3</v>
      </c>
      <c r="K14" s="16">
        <v>5.2681816281015467E-3</v>
      </c>
      <c r="L14" s="93">
        <v>4.3377521060260381E-3</v>
      </c>
      <c r="M14" s="16">
        <v>1.129066128857532E-2</v>
      </c>
      <c r="N14" s="93">
        <v>1.8146118960629933E-2</v>
      </c>
      <c r="O14" s="92">
        <v>0.62369574885195433</v>
      </c>
      <c r="P14" s="92">
        <v>1.8657377271917578E-2</v>
      </c>
      <c r="Q14" s="92">
        <v>4.1413607755583601E-2</v>
      </c>
      <c r="R14" s="16">
        <v>5.4004578200988369E-3</v>
      </c>
      <c r="S14" s="16">
        <v>5.8599804038352663E-3</v>
      </c>
      <c r="T14" s="92">
        <v>2.1117324925283513E-2</v>
      </c>
      <c r="U14" s="16">
        <v>1.1879423386680006E-2</v>
      </c>
      <c r="V14" s="16">
        <v>5.3703228074918036E-2</v>
      </c>
      <c r="W14" s="93">
        <v>2.8543595452103322E-2</v>
      </c>
      <c r="X14" s="16">
        <v>5.2039468031485486E-2</v>
      </c>
      <c r="Y14" s="16">
        <v>5.7259970863888246E-2</v>
      </c>
      <c r="Z14" s="92">
        <v>4.4953847710735503E-2</v>
      </c>
      <c r="AA14" s="16">
        <v>3.4086562797286168E-2</v>
      </c>
      <c r="AB14" s="16">
        <v>1.5336269646386205E-3</v>
      </c>
      <c r="AC14" s="16">
        <v>2.168876053013019E-3</v>
      </c>
      <c r="AD14" s="16">
        <v>1.4565419744495293E-2</v>
      </c>
      <c r="AE14" s="56">
        <v>3.0672539292772409E-3</v>
      </c>
    </row>
    <row r="15" spans="1:31" ht="3.75" customHeight="1" x14ac:dyDescent="0.25">
      <c r="AD15"/>
      <c r="AE15"/>
    </row>
    <row r="16" spans="1:31" s="33" customFormat="1" ht="11.25" customHeight="1" x14ac:dyDescent="0.25">
      <c r="A16" s="146" t="s">
        <v>10</v>
      </c>
      <c r="B16" s="146" t="s">
        <v>11</v>
      </c>
      <c r="C16" s="39" t="s">
        <v>12</v>
      </c>
      <c r="D16" s="39" t="s">
        <v>63</v>
      </c>
      <c r="E16" s="39" t="s">
        <v>64</v>
      </c>
      <c r="F16" s="39" t="s">
        <v>65</v>
      </c>
      <c r="G16" s="39" t="s">
        <v>66</v>
      </c>
      <c r="H16" s="39" t="s">
        <v>67</v>
      </c>
      <c r="I16" s="39" t="s">
        <v>68</v>
      </c>
      <c r="J16" s="39" t="s">
        <v>69</v>
      </c>
      <c r="K16" s="39" t="s">
        <v>70</v>
      </c>
      <c r="L16" s="39" t="s">
        <v>71</v>
      </c>
      <c r="M16" s="39" t="s">
        <v>72</v>
      </c>
      <c r="N16" s="39" t="s">
        <v>73</v>
      </c>
      <c r="O16" s="39" t="s">
        <v>74</v>
      </c>
      <c r="P16" s="39" t="s">
        <v>75</v>
      </c>
      <c r="Q16" s="39" t="s">
        <v>76</v>
      </c>
      <c r="R16" s="39" t="s">
        <v>77</v>
      </c>
      <c r="S16" s="39" t="s">
        <v>78</v>
      </c>
      <c r="T16" s="39" t="s">
        <v>79</v>
      </c>
      <c r="U16" s="39" t="s">
        <v>80</v>
      </c>
      <c r="V16" s="39" t="s">
        <v>81</v>
      </c>
      <c r="W16" s="39" t="s">
        <v>82</v>
      </c>
      <c r="X16" s="39" t="s">
        <v>83</v>
      </c>
      <c r="Y16" s="39" t="s">
        <v>84</v>
      </c>
      <c r="Z16" s="39" t="s">
        <v>85</v>
      </c>
      <c r="AA16" s="39" t="s">
        <v>13</v>
      </c>
      <c r="AB16" s="39" t="s">
        <v>86</v>
      </c>
      <c r="AC16" s="39" t="s">
        <v>87</v>
      </c>
      <c r="AD16" s="39" t="s">
        <v>88</v>
      </c>
      <c r="AE16" s="39" t="s">
        <v>89</v>
      </c>
    </row>
    <row r="17" spans="1:31" s="33" customFormat="1" ht="11.25" customHeight="1" x14ac:dyDescent="0.25">
      <c r="A17" s="146"/>
      <c r="B17" s="146"/>
      <c r="C17" s="40" t="s">
        <v>14</v>
      </c>
      <c r="D17" s="40" t="s">
        <v>14</v>
      </c>
      <c r="E17" s="40" t="s">
        <v>14</v>
      </c>
      <c r="F17" s="40" t="s">
        <v>14</v>
      </c>
      <c r="G17" s="40" t="s">
        <v>14</v>
      </c>
      <c r="H17" s="40" t="s">
        <v>14</v>
      </c>
      <c r="I17" s="40" t="s">
        <v>14</v>
      </c>
      <c r="J17" s="40" t="s">
        <v>14</v>
      </c>
      <c r="K17" s="40" t="s">
        <v>14</v>
      </c>
      <c r="L17" s="40" t="s">
        <v>14</v>
      </c>
      <c r="M17" s="40" t="s">
        <v>14</v>
      </c>
      <c r="N17" s="40" t="s">
        <v>14</v>
      </c>
      <c r="O17" s="40" t="s">
        <v>14</v>
      </c>
      <c r="P17" s="40" t="s">
        <v>14</v>
      </c>
      <c r="Q17" s="40" t="s">
        <v>14</v>
      </c>
      <c r="R17" s="40" t="s">
        <v>14</v>
      </c>
      <c r="S17" s="40" t="s">
        <v>14</v>
      </c>
      <c r="T17" s="40" t="s">
        <v>14</v>
      </c>
      <c r="U17" s="40" t="s">
        <v>14</v>
      </c>
      <c r="V17" s="40" t="s">
        <v>14</v>
      </c>
      <c r="W17" s="40" t="s">
        <v>14</v>
      </c>
      <c r="X17" s="40" t="s">
        <v>14</v>
      </c>
      <c r="Y17" s="40" t="s">
        <v>14</v>
      </c>
      <c r="Z17" s="40" t="s">
        <v>14</v>
      </c>
      <c r="AA17" s="40" t="s">
        <v>14</v>
      </c>
      <c r="AB17" s="40" t="s">
        <v>14</v>
      </c>
      <c r="AC17" s="40" t="s">
        <v>14</v>
      </c>
      <c r="AD17" s="40" t="s">
        <v>14</v>
      </c>
      <c r="AE17" s="40" t="s">
        <v>14</v>
      </c>
    </row>
    <row r="18" spans="1:31" ht="3.75" customHeight="1" x14ac:dyDescent="0.25">
      <c r="AD18"/>
      <c r="AE18"/>
    </row>
    <row r="19" spans="1:31" s="15" customFormat="1" ht="15.75" thickBot="1" x14ac:dyDescent="0.3">
      <c r="A19" s="14" t="s">
        <v>15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63"/>
      <c r="N19" s="63"/>
      <c r="O19" s="63"/>
      <c r="P19" s="63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</row>
    <row r="20" spans="1:31" customFormat="1" x14ac:dyDescent="0.25">
      <c r="A20" s="104" t="s">
        <v>203</v>
      </c>
      <c r="B20" s="105">
        <v>45531.717766203707</v>
      </c>
      <c r="C20" s="106">
        <v>6.9999999999999999E-4</v>
      </c>
      <c r="D20" s="106">
        <v>1146.7787000000001</v>
      </c>
      <c r="E20" s="106">
        <v>4.99E-2</v>
      </c>
      <c r="F20" s="106">
        <v>3.5999999999999999E-3</v>
      </c>
      <c r="G20" s="106">
        <v>3.1199999999999999E-2</v>
      </c>
      <c r="H20" s="106">
        <v>-2.9999999999999997E-4</v>
      </c>
      <c r="I20" s="106">
        <v>7.8541999999999996</v>
      </c>
      <c r="J20" s="106">
        <v>-5.4999999999999997E-3</v>
      </c>
      <c r="K20" s="106">
        <v>-1.47E-2</v>
      </c>
      <c r="L20" s="106">
        <v>0.57499999999999996</v>
      </c>
      <c r="M20" s="106">
        <v>0.23300000000000001</v>
      </c>
      <c r="N20" s="144">
        <v>1621.8717999999999</v>
      </c>
      <c r="O20" s="106">
        <v>0.22259999999999999</v>
      </c>
      <c r="P20" s="106">
        <v>3.7789000000000001</v>
      </c>
      <c r="Q20" s="106">
        <v>5.1951000000000001</v>
      </c>
      <c r="R20" s="106">
        <v>3.1823999999999999</v>
      </c>
      <c r="S20" s="106">
        <v>5.3100000000000001E-2</v>
      </c>
      <c r="T20" s="106">
        <v>958.69579999999996</v>
      </c>
      <c r="U20" s="106">
        <v>29.462599999999998</v>
      </c>
      <c r="V20" s="106">
        <v>21.887699999999999</v>
      </c>
      <c r="W20" s="106">
        <v>5.2200000000000003E-2</v>
      </c>
      <c r="X20" s="106">
        <v>8.6007999999999996</v>
      </c>
      <c r="Y20" s="106">
        <v>0.1031</v>
      </c>
      <c r="Z20" s="106">
        <v>-7.1099999999999997E-2</v>
      </c>
      <c r="AA20" s="106">
        <v>2.8391999999999999</v>
      </c>
      <c r="AB20" s="106">
        <v>0.152</v>
      </c>
      <c r="AC20" s="106">
        <v>0.46989999999999998</v>
      </c>
      <c r="AD20" s="106">
        <v>0.157</v>
      </c>
      <c r="AE20" s="107">
        <v>0.14630000000000001</v>
      </c>
    </row>
    <row r="21" spans="1:31" customFormat="1" x14ac:dyDescent="0.25">
      <c r="A21" s="104" t="s">
        <v>204</v>
      </c>
      <c r="B21" s="105">
        <v>45531.719502314816</v>
      </c>
      <c r="C21" s="106">
        <v>6.9999999999999999E-4</v>
      </c>
      <c r="D21" s="106">
        <v>1188.9331</v>
      </c>
      <c r="E21" s="106">
        <v>4.2700000000000002E-2</v>
      </c>
      <c r="F21" s="106">
        <v>7.6E-3</v>
      </c>
      <c r="G21" s="106">
        <v>3.2000000000000001E-2</v>
      </c>
      <c r="H21" s="106">
        <v>-2.9999999999999997E-4</v>
      </c>
      <c r="I21" s="106">
        <v>7.8044000000000002</v>
      </c>
      <c r="J21" s="106">
        <v>-1.1000000000000001E-3</v>
      </c>
      <c r="K21" s="106">
        <v>-1.7600000000000001E-2</v>
      </c>
      <c r="L21" s="106">
        <v>0.60050000000000003</v>
      </c>
      <c r="M21" s="106">
        <v>0.2576</v>
      </c>
      <c r="N21" s="144">
        <v>1681.8426999999999</v>
      </c>
      <c r="O21" s="106">
        <v>0.20269999999999999</v>
      </c>
      <c r="P21" s="106">
        <v>3.9394</v>
      </c>
      <c r="Q21" s="106">
        <v>5.3259999999999996</v>
      </c>
      <c r="R21" s="106">
        <v>3.282</v>
      </c>
      <c r="S21" s="106">
        <v>5.0099999999999999E-2</v>
      </c>
      <c r="T21" s="106">
        <v>888.61260000000004</v>
      </c>
      <c r="U21" s="106">
        <v>29.316400000000002</v>
      </c>
      <c r="V21" s="106">
        <v>22.77</v>
      </c>
      <c r="W21" s="106">
        <v>1.5299999999999999E-2</v>
      </c>
      <c r="X21" s="106">
        <v>8.8829999999999991</v>
      </c>
      <c r="Y21" s="106">
        <v>9.3299999999999994E-2</v>
      </c>
      <c r="Z21" s="106">
        <v>-5.9400000000000001E-2</v>
      </c>
      <c r="AA21" s="106">
        <v>3.3003</v>
      </c>
      <c r="AB21" s="106">
        <v>0.1555</v>
      </c>
      <c r="AC21" s="106">
        <v>0.49030000000000001</v>
      </c>
      <c r="AD21" s="106">
        <v>0.16389999999999999</v>
      </c>
      <c r="AE21" s="107">
        <v>0.17180000000000001</v>
      </c>
    </row>
    <row r="22" spans="1:31" customFormat="1" x14ac:dyDescent="0.25">
      <c r="A22" s="104" t="s">
        <v>205</v>
      </c>
      <c r="B22" s="105">
        <v>45531.721238425926</v>
      </c>
      <c r="C22" s="106">
        <v>-1.1000000000000001E-3</v>
      </c>
      <c r="D22" s="106">
        <v>1115.0035</v>
      </c>
      <c r="E22" s="106">
        <v>4.0300000000000002E-2</v>
      </c>
      <c r="F22" s="106">
        <v>5.1999999999999998E-3</v>
      </c>
      <c r="G22" s="106">
        <v>3.0800000000000001E-2</v>
      </c>
      <c r="H22" s="106">
        <v>-2.9999999999999997E-4</v>
      </c>
      <c r="I22" s="106">
        <v>7.9840999999999998</v>
      </c>
      <c r="J22" s="106">
        <v>-6.1000000000000004E-3</v>
      </c>
      <c r="K22" s="106">
        <v>-1.9099999999999999E-2</v>
      </c>
      <c r="L22" s="106">
        <v>0.55549999999999999</v>
      </c>
      <c r="M22" s="106">
        <v>0.18090000000000001</v>
      </c>
      <c r="N22" s="144">
        <v>1597.4987000000001</v>
      </c>
      <c r="O22" s="106">
        <v>0.21429999999999999</v>
      </c>
      <c r="P22" s="106">
        <v>3.6294</v>
      </c>
      <c r="Q22" s="106">
        <v>5.1105999999999998</v>
      </c>
      <c r="R22" s="106">
        <v>3.1486999999999998</v>
      </c>
      <c r="S22" s="106">
        <v>4.58E-2</v>
      </c>
      <c r="T22" s="106">
        <v>1000.941</v>
      </c>
      <c r="U22" s="106">
        <v>28.094999999999999</v>
      </c>
      <c r="V22" s="106">
        <v>20.9528</v>
      </c>
      <c r="W22" s="106">
        <v>1.1900000000000001E-2</v>
      </c>
      <c r="X22" s="106">
        <v>8.3544999999999998</v>
      </c>
      <c r="Y22" s="106">
        <v>9.9900000000000003E-2</v>
      </c>
      <c r="Z22" s="106">
        <v>-7.9000000000000001E-2</v>
      </c>
      <c r="AA22" s="106">
        <v>2.5436999999999999</v>
      </c>
      <c r="AB22" s="106">
        <v>0.15179999999999999</v>
      </c>
      <c r="AC22" s="106">
        <v>0.45779999999999998</v>
      </c>
      <c r="AD22" s="106">
        <v>0.16059999999999999</v>
      </c>
      <c r="AE22" s="107">
        <v>0.10979999999999999</v>
      </c>
    </row>
    <row r="23" spans="1:31" customFormat="1" x14ac:dyDescent="0.25">
      <c r="A23" s="104"/>
      <c r="B23" s="105"/>
      <c r="C23" s="106"/>
      <c r="D23" s="144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44"/>
      <c r="Y23" s="106"/>
      <c r="Z23" s="106"/>
      <c r="AA23" s="106"/>
      <c r="AB23" s="106"/>
      <c r="AC23" s="106"/>
      <c r="AD23" s="106"/>
      <c r="AE23" s="107"/>
    </row>
    <row r="24" spans="1:31" customFormat="1" x14ac:dyDescent="0.25">
      <c r="A24" s="104"/>
      <c r="B24" s="105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44"/>
      <c r="Y24" s="106"/>
      <c r="Z24" s="106"/>
      <c r="AA24" s="106"/>
      <c r="AB24" s="106"/>
      <c r="AC24" s="106"/>
      <c r="AD24" s="106"/>
      <c r="AE24" s="107"/>
    </row>
    <row r="25" spans="1:31" customFormat="1" x14ac:dyDescent="0.25">
      <c r="A25" s="104"/>
      <c r="B25" s="105"/>
      <c r="C25" s="106"/>
      <c r="D25" s="144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7"/>
    </row>
    <row r="26" spans="1:31" customFormat="1" x14ac:dyDescent="0.25">
      <c r="A26" s="104"/>
      <c r="B26" s="105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7"/>
    </row>
    <row r="27" spans="1:31" customFormat="1" x14ac:dyDescent="0.25">
      <c r="A27" s="104"/>
      <c r="B27" s="105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7"/>
    </row>
    <row r="28" spans="1:31" customFormat="1" x14ac:dyDescent="0.25">
      <c r="A28" s="104"/>
      <c r="B28" s="105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7"/>
    </row>
    <row r="29" spans="1:31" customFormat="1" x14ac:dyDescent="0.25">
      <c r="A29" s="104"/>
      <c r="B29" s="105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7"/>
    </row>
    <row r="30" spans="1:31" customFormat="1" x14ac:dyDescent="0.25">
      <c r="A30" s="104"/>
      <c r="B30" s="105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7"/>
    </row>
    <row r="31" spans="1:31" customFormat="1" x14ac:dyDescent="0.25">
      <c r="A31" s="104"/>
      <c r="B31" s="105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7"/>
    </row>
    <row r="32" spans="1:31" customFormat="1" x14ac:dyDescent="0.25">
      <c r="A32" s="104"/>
      <c r="B32" s="105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7"/>
    </row>
    <row r="33" spans="1:31" customFormat="1" x14ac:dyDescent="0.25">
      <c r="A33" s="104"/>
      <c r="B33" s="105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7"/>
    </row>
    <row r="34" spans="1:31" customFormat="1" x14ac:dyDescent="0.25">
      <c r="A34" s="104"/>
      <c r="B34" s="105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7"/>
    </row>
    <row r="35" spans="1:31" customFormat="1" x14ac:dyDescent="0.25">
      <c r="A35" s="104"/>
      <c r="B35" s="105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7"/>
    </row>
    <row r="36" spans="1:31" customFormat="1" x14ac:dyDescent="0.25">
      <c r="A36" s="104"/>
      <c r="B36" s="105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7"/>
    </row>
    <row r="37" spans="1:31" customFormat="1" x14ac:dyDescent="0.25">
      <c r="A37" s="104"/>
      <c r="B37" s="105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customFormat="1" x14ac:dyDescent="0.25">
      <c r="A38" s="104"/>
      <c r="B38" s="105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7"/>
    </row>
    <row r="39" spans="1:31" customFormat="1" x14ac:dyDescent="0.25">
      <c r="B39" s="147" t="s">
        <v>197</v>
      </c>
      <c r="C39" s="147"/>
      <c r="D39" s="147"/>
      <c r="E39" s="147"/>
      <c r="F39" s="147"/>
      <c r="G39" s="147"/>
      <c r="H39" s="147"/>
      <c r="I39" s="147"/>
      <c r="J39" s="147"/>
    </row>
    <row r="40" spans="1:31" x14ac:dyDescent="0.25">
      <c r="B40" s="115" t="s">
        <v>101</v>
      </c>
      <c r="C40" s="115"/>
      <c r="D40" s="115"/>
      <c r="E40" s="115"/>
      <c r="F40" s="115"/>
    </row>
    <row r="41" spans="1:31" customFormat="1" x14ac:dyDescent="0.25">
      <c r="A41" s="97" t="s">
        <v>93</v>
      </c>
      <c r="B41" s="86"/>
      <c r="C41" s="87" t="s">
        <v>12</v>
      </c>
      <c r="D41" s="87" t="s">
        <v>63</v>
      </c>
      <c r="E41" s="87" t="s">
        <v>64</v>
      </c>
      <c r="F41" s="87" t="s">
        <v>65</v>
      </c>
      <c r="G41" s="87" t="s">
        <v>66</v>
      </c>
      <c r="H41" s="87" t="s">
        <v>67</v>
      </c>
      <c r="I41" s="87" t="s">
        <v>68</v>
      </c>
      <c r="J41" s="87" t="s">
        <v>69</v>
      </c>
      <c r="K41" s="87" t="s">
        <v>70</v>
      </c>
      <c r="L41" s="87" t="s">
        <v>71</v>
      </c>
      <c r="M41" s="87" t="s">
        <v>72</v>
      </c>
      <c r="N41" s="87" t="s">
        <v>73</v>
      </c>
      <c r="O41" s="87" t="s">
        <v>74</v>
      </c>
      <c r="P41" s="87" t="s">
        <v>75</v>
      </c>
      <c r="Q41" s="87" t="s">
        <v>76</v>
      </c>
      <c r="R41" s="87" t="s">
        <v>77</v>
      </c>
      <c r="S41" s="87" t="s">
        <v>78</v>
      </c>
      <c r="T41" s="87" t="s">
        <v>79</v>
      </c>
      <c r="U41" s="87" t="s">
        <v>80</v>
      </c>
      <c r="V41" s="87" t="s">
        <v>81</v>
      </c>
      <c r="W41" s="87" t="s">
        <v>82</v>
      </c>
      <c r="X41" s="87" t="s">
        <v>83</v>
      </c>
      <c r="Y41" s="87" t="s">
        <v>84</v>
      </c>
      <c r="Z41" s="87" t="s">
        <v>85</v>
      </c>
      <c r="AA41" s="87" t="s">
        <v>13</v>
      </c>
      <c r="AB41" s="87" t="s">
        <v>86</v>
      </c>
      <c r="AC41" s="87" t="s">
        <v>87</v>
      </c>
      <c r="AD41" s="87" t="s">
        <v>88</v>
      </c>
      <c r="AE41" s="87" t="s">
        <v>89</v>
      </c>
    </row>
    <row r="42" spans="1:31" customFormat="1" x14ac:dyDescent="0.25">
      <c r="A42" s="83" t="s">
        <v>16</v>
      </c>
      <c r="B42" s="83"/>
      <c r="C42" s="94">
        <v>0.01</v>
      </c>
      <c r="D42" s="94">
        <v>0.05</v>
      </c>
      <c r="E42" s="94">
        <v>0.01</v>
      </c>
      <c r="F42" s="94">
        <v>0.01</v>
      </c>
      <c r="G42" s="94">
        <v>0.01</v>
      </c>
      <c r="H42" s="94">
        <v>0.05</v>
      </c>
      <c r="I42" s="94">
        <v>0.05</v>
      </c>
      <c r="J42" s="94">
        <v>0.01</v>
      </c>
      <c r="K42" s="94">
        <v>0.01</v>
      </c>
      <c r="L42" s="94">
        <v>0.01</v>
      </c>
      <c r="M42" s="94">
        <v>0.01</v>
      </c>
      <c r="N42" s="94">
        <v>0.05</v>
      </c>
      <c r="O42" s="94">
        <v>0.1</v>
      </c>
      <c r="P42" s="94">
        <v>0.05</v>
      </c>
      <c r="Q42" s="94">
        <v>0.05</v>
      </c>
      <c r="R42" s="94">
        <v>0.01</v>
      </c>
      <c r="S42" s="94">
        <v>0.01</v>
      </c>
      <c r="T42" s="94">
        <v>0.05</v>
      </c>
      <c r="U42" s="94">
        <v>0.01</v>
      </c>
      <c r="V42" s="94">
        <v>0.05</v>
      </c>
      <c r="W42" s="94">
        <v>0.05</v>
      </c>
      <c r="X42" s="94">
        <v>0.05</v>
      </c>
      <c r="Y42" s="94">
        <v>0.05</v>
      </c>
      <c r="Z42" s="94">
        <v>0.01</v>
      </c>
      <c r="AA42" s="94">
        <v>0.05</v>
      </c>
      <c r="AB42" s="94">
        <v>0.01</v>
      </c>
      <c r="AC42" s="94">
        <v>0.01</v>
      </c>
      <c r="AD42" s="94">
        <v>0.01</v>
      </c>
      <c r="AE42" s="94">
        <v>0.05</v>
      </c>
    </row>
    <row r="43" spans="1:31" x14ac:dyDescent="0.25">
      <c r="A43" s="84" t="s">
        <v>17</v>
      </c>
      <c r="B43" s="84"/>
      <c r="C43" s="85">
        <v>20</v>
      </c>
      <c r="D43" s="94">
        <v>200</v>
      </c>
      <c r="E43" s="94">
        <v>20</v>
      </c>
      <c r="F43" s="94">
        <v>20</v>
      </c>
      <c r="G43" s="94">
        <v>20</v>
      </c>
      <c r="H43" s="94">
        <v>20</v>
      </c>
      <c r="I43" s="94">
        <v>2000</v>
      </c>
      <c r="J43" s="94">
        <v>20</v>
      </c>
      <c r="K43" s="94">
        <v>20</v>
      </c>
      <c r="L43" s="94">
        <v>20</v>
      </c>
      <c r="M43" s="94">
        <v>100</v>
      </c>
      <c r="N43" s="94">
        <v>1000</v>
      </c>
      <c r="O43" s="94">
        <v>100</v>
      </c>
      <c r="P43" s="94">
        <v>100</v>
      </c>
      <c r="Q43" s="94">
        <v>2000</v>
      </c>
      <c r="R43" s="94">
        <v>20</v>
      </c>
      <c r="S43" s="94">
        <v>20</v>
      </c>
      <c r="T43" s="94">
        <v>100</v>
      </c>
      <c r="U43" s="94">
        <v>20</v>
      </c>
      <c r="V43" s="94">
        <v>200</v>
      </c>
      <c r="W43" s="94">
        <v>200</v>
      </c>
      <c r="X43" s="94">
        <v>200</v>
      </c>
      <c r="Y43" s="94">
        <v>20</v>
      </c>
      <c r="Z43" s="94">
        <v>20</v>
      </c>
      <c r="AA43" s="94">
        <v>100</v>
      </c>
      <c r="AB43" s="94">
        <v>20</v>
      </c>
      <c r="AC43" s="94">
        <v>20</v>
      </c>
      <c r="AD43" s="94">
        <v>20</v>
      </c>
      <c r="AE43" s="94">
        <v>100</v>
      </c>
    </row>
    <row r="44" spans="1:31" x14ac:dyDescent="0.25">
      <c r="A44" s="84" t="s">
        <v>94</v>
      </c>
      <c r="B44" s="84"/>
      <c r="C44" s="85">
        <v>0.99999000000000005</v>
      </c>
      <c r="D44" s="94">
        <v>0.99995999999999996</v>
      </c>
      <c r="E44" s="94">
        <v>1</v>
      </c>
      <c r="F44" s="94">
        <v>1</v>
      </c>
      <c r="G44" s="94">
        <v>0.99999000000000005</v>
      </c>
      <c r="H44" s="94">
        <v>0.99990000000000001</v>
      </c>
      <c r="I44" s="94">
        <v>0.99888999999999994</v>
      </c>
      <c r="J44" s="94">
        <v>0.99999000000000005</v>
      </c>
      <c r="K44" s="94">
        <v>0.99997000000000003</v>
      </c>
      <c r="L44" s="94">
        <v>0.99994000000000005</v>
      </c>
      <c r="M44" s="94">
        <v>0.99994000000000005</v>
      </c>
      <c r="N44" s="94">
        <v>0.99995999999999996</v>
      </c>
      <c r="O44" s="94">
        <v>0.99999000000000005</v>
      </c>
      <c r="P44" s="94">
        <v>0.99999000000000005</v>
      </c>
      <c r="Q44" s="94">
        <v>0.99953000000000003</v>
      </c>
      <c r="R44" s="94">
        <v>1</v>
      </c>
      <c r="S44" s="94">
        <v>0.99999000000000005</v>
      </c>
      <c r="T44" s="94">
        <v>0.99999000000000005</v>
      </c>
      <c r="U44" s="94">
        <v>0.99995999999999996</v>
      </c>
      <c r="V44" s="94">
        <v>0.99977000000000005</v>
      </c>
      <c r="W44" s="94">
        <v>0.99812000000000001</v>
      </c>
      <c r="X44" s="94">
        <v>0.99972000000000005</v>
      </c>
      <c r="Y44" s="94">
        <v>0.99999000000000005</v>
      </c>
      <c r="Z44" s="94">
        <v>1</v>
      </c>
      <c r="AA44" s="94">
        <v>0.99939</v>
      </c>
      <c r="AB44" s="94">
        <v>0.99990999999999997</v>
      </c>
      <c r="AC44" s="94">
        <v>0.99980000000000002</v>
      </c>
      <c r="AD44" s="94">
        <v>1</v>
      </c>
      <c r="AE44" s="94">
        <v>0.99992999999999999</v>
      </c>
    </row>
    <row r="45" spans="1:31" x14ac:dyDescent="0.25">
      <c r="A45" s="96" t="s">
        <v>95</v>
      </c>
      <c r="C45" s="95">
        <v>3.3255313645591529E-3</v>
      </c>
      <c r="D45" s="95">
        <v>5.817279764632261E-3</v>
      </c>
      <c r="E45" s="95">
        <v>3.9661384275724255E-3</v>
      </c>
      <c r="F45" s="95">
        <v>1.4698196338553474E-2</v>
      </c>
      <c r="G45" s="95">
        <v>2.1688760530130192E-4</v>
      </c>
      <c r="H45" s="95">
        <v>1.8146118960629933E-4</v>
      </c>
      <c r="I45" s="95">
        <v>4.357768029240045E-3</v>
      </c>
      <c r="J45" s="95">
        <v>3.0672539292772398E-4</v>
      </c>
      <c r="K45" s="95">
        <v>5.2681816281015465E-4</v>
      </c>
      <c r="L45" s="95">
        <v>4.3377521060260378E-4</v>
      </c>
      <c r="M45" s="95">
        <v>1.129066128857532E-3</v>
      </c>
      <c r="N45" s="95">
        <v>1.8146118960629934E-3</v>
      </c>
      <c r="O45" s="95">
        <v>6.2369574885195428E-2</v>
      </c>
      <c r="P45" s="95">
        <v>1.8657377271917579E-3</v>
      </c>
      <c r="Q45" s="95">
        <v>4.1413607755583599E-3</v>
      </c>
      <c r="R45" s="95">
        <v>5.4004578200988367E-4</v>
      </c>
      <c r="S45" s="95">
        <v>5.8599804038352661E-4</v>
      </c>
      <c r="T45" s="95">
        <v>2.1117324925283513E-3</v>
      </c>
      <c r="U45" s="95">
        <v>1.1879423386680005E-3</v>
      </c>
      <c r="V45" s="95">
        <v>5.3703228074918037E-3</v>
      </c>
      <c r="W45" s="95">
        <v>2.8543595452103321E-3</v>
      </c>
      <c r="X45" s="95">
        <v>5.2039468031485486E-3</v>
      </c>
      <c r="Y45" s="95">
        <v>5.7259970863888249E-3</v>
      </c>
      <c r="Z45" s="95">
        <v>4.4953847710735503E-3</v>
      </c>
      <c r="AA45" s="95">
        <v>3.4086562797286165E-3</v>
      </c>
      <c r="AB45" s="95">
        <v>1.5336269646386205E-4</v>
      </c>
      <c r="AC45" s="95">
        <v>2.1688760530130192E-4</v>
      </c>
      <c r="AD45" s="95">
        <v>1.4565419744495293E-3</v>
      </c>
      <c r="AE45" s="95">
        <v>3.0672539292772409E-4</v>
      </c>
    </row>
    <row r="46" spans="1:31" x14ac:dyDescent="0.25">
      <c r="A46" s="96" t="s">
        <v>96</v>
      </c>
      <c r="C46" s="95">
        <v>3.3255313645591526E-2</v>
      </c>
      <c r="D46" s="95">
        <v>5.8172797646322612E-2</v>
      </c>
      <c r="E46" s="95">
        <v>3.9661384275724257E-2</v>
      </c>
      <c r="F46" s="95">
        <v>0.14698196338553474</v>
      </c>
      <c r="G46" s="95">
        <v>2.168876053013019E-3</v>
      </c>
      <c r="H46" s="95">
        <v>1.8146118960629934E-3</v>
      </c>
      <c r="I46" s="95">
        <v>4.3577680292400452E-2</v>
      </c>
      <c r="J46" s="95">
        <v>3.06725392927724E-3</v>
      </c>
      <c r="K46" s="95">
        <v>5.2681816281015467E-3</v>
      </c>
      <c r="L46" s="95">
        <v>4.3377521060260381E-3</v>
      </c>
      <c r="M46" s="95">
        <v>1.129066128857532E-2</v>
      </c>
      <c r="N46" s="95">
        <v>1.8146118960629933E-2</v>
      </c>
      <c r="O46" s="95">
        <v>0.62369574885195433</v>
      </c>
      <c r="P46" s="95">
        <v>1.8657377271917578E-2</v>
      </c>
      <c r="Q46" s="95">
        <v>4.1413607755583601E-2</v>
      </c>
      <c r="R46" s="95">
        <v>5.4004578200988369E-3</v>
      </c>
      <c r="S46" s="95">
        <v>5.8599804038352663E-3</v>
      </c>
      <c r="T46" s="95">
        <v>2.1117324925283513E-2</v>
      </c>
      <c r="U46" s="95">
        <v>1.1879423386680006E-2</v>
      </c>
      <c r="V46" s="95">
        <v>5.3703228074918036E-2</v>
      </c>
      <c r="W46" s="95">
        <v>2.8543595452103322E-2</v>
      </c>
      <c r="X46" s="95">
        <v>5.2039468031485486E-2</v>
      </c>
      <c r="Y46" s="95">
        <v>5.7259970863888246E-2</v>
      </c>
      <c r="Z46" s="95">
        <v>4.4953847710735503E-2</v>
      </c>
      <c r="AA46" s="95">
        <v>3.4086562797286168E-2</v>
      </c>
      <c r="AB46" s="95">
        <v>1.5336269646386205E-3</v>
      </c>
      <c r="AC46" s="95">
        <v>2.168876053013019E-3</v>
      </c>
      <c r="AD46" s="95">
        <v>1.4565419744495293E-2</v>
      </c>
      <c r="AE46" s="95">
        <v>3.0672539292772409E-3</v>
      </c>
    </row>
  </sheetData>
  <mergeCells count="3">
    <mergeCell ref="A16:A17"/>
    <mergeCell ref="B16:B17"/>
    <mergeCell ref="B39:J39"/>
  </mergeCells>
  <phoneticPr fontId="11" type="noConversion"/>
  <conditionalFormatting sqref="D39">
    <cfRule type="cellIs" dxfId="4" priority="1" operator="greaterThan">
      <formula>$D$41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46"/>
  <sheetViews>
    <sheetView workbookViewId="0">
      <selection activeCell="B24" sqref="B24:B26"/>
    </sheetView>
  </sheetViews>
  <sheetFormatPr defaultRowHeight="15" x14ac:dyDescent="0.25"/>
  <cols>
    <col min="1" max="1" width="37.140625" customWidth="1"/>
    <col min="2" max="2" width="13.7109375" customWidth="1"/>
    <col min="3" max="13" width="9.28515625" style="23"/>
    <col min="14" max="14" width="10.28515625" style="23" customWidth="1"/>
    <col min="15" max="31" width="9.28515625" style="23"/>
  </cols>
  <sheetData>
    <row r="1" spans="1:31" s="38" customFormat="1" ht="21.75" thickBot="1" x14ac:dyDescent="0.3">
      <c r="A1" s="37" t="str">
        <f>'Raw ICP-OES Data'!A1</f>
        <v xml:space="preserve"> Inductively Coupled Plasma-Optical Emission Spectrometer (ICP-AES) Samples Review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</row>
    <row r="2" spans="1:31" s="2" customFormat="1" ht="3.75" customHeight="1" x14ac:dyDescent="0.25">
      <c r="A2" s="1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s="2" customFormat="1" x14ac:dyDescent="0.25">
      <c r="A3" s="3" t="str">
        <f>'Raw ICP-OES Data'!A3</f>
        <v>Sequence Name: Valmont Fly Ash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</row>
    <row r="4" spans="1:31" s="2" customFormat="1" x14ac:dyDescent="0.25">
      <c r="A4" s="3" t="str">
        <f>'Raw ICP-OES Data'!A4</f>
        <v>Digested By: Trevor Henry on 8/29/2024  electronic Lab book K-LRTD-NB-2993| Analyzed By: Mahendranath Arambewela. The final volume of the digestion was 50 mL.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</row>
    <row r="5" spans="1:31" s="2" customFormat="1" x14ac:dyDescent="0.25">
      <c r="A5" s="3" t="str">
        <f>'Raw ICP-OES Data'!A5</f>
        <v>Chain of Custody:  Not Received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</row>
    <row r="6" spans="1:31" s="2" customFormat="1" x14ac:dyDescent="0.25">
      <c r="A6" s="3" t="str">
        <f>'Raw ICP-OES Data'!A6</f>
        <v>Sample Preparation: Total metal samples were acid digested per SOP K-LRTD-SOP-1193-0 (based on  EPA Method 3051)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23"/>
      <c r="AD6" s="17"/>
      <c r="AE6" s="17"/>
    </row>
    <row r="7" spans="1:31" s="2" customFormat="1" x14ac:dyDescent="0.25">
      <c r="A7" s="3" t="str">
        <f>'Raw ICP-OES Data'!A7</f>
        <v>Instrument: Inductively coupled plasma-optical emission spectrometer (ICP-OES) Agilent 5900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s="2" customFormat="1" x14ac:dyDescent="0.25">
      <c r="A8" s="3" t="str">
        <f>'Raw ICP-OES Data'!A8</f>
        <v>Electronic data found at: L:\Priv\CtrHill\CSSB Applied Research\Spring River Watershed\Data Reports with QA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31" s="2" customFormat="1" x14ac:dyDescent="0.25">
      <c r="A9" s="3" t="str">
        <f>'Raw ICP-OES Data'!A9</f>
        <v>Analytical Method: ICP analysis per SOP K-LRTD-SOP-1185-1 (based on EPA Method 6010B)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31" s="2" customFormat="1" ht="3.75" customHeight="1" x14ac:dyDescent="0.25">
      <c r="A10" s="4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31" s="2" customFormat="1" ht="12.75" customHeight="1" x14ac:dyDescent="0.25">
      <c r="A11" s="24" t="s">
        <v>97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31" s="2" customFormat="1" ht="3.75" customHeight="1" thickBot="1" x14ac:dyDescent="0.3"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31" s="2" customFormat="1" ht="15" customHeight="1" x14ac:dyDescent="0.25">
      <c r="B13" s="5" t="str">
        <f>'Raw ICP-OES Data'!B13</f>
        <v>MDL (mg/L)</v>
      </c>
      <c r="C13" s="6">
        <f>'Raw ICP-OES Data'!C13</f>
        <v>3.3255313645591529E-3</v>
      </c>
      <c r="D13" s="6">
        <f>'Raw ICP-OES Data'!D13</f>
        <v>5.817279764632261E-3</v>
      </c>
      <c r="E13" s="6">
        <f>'Raw ICP-OES Data'!E13</f>
        <v>3.9661384275724255E-3</v>
      </c>
      <c r="F13" s="6">
        <f>'Raw ICP-OES Data'!F13</f>
        <v>1.4698196338553474E-2</v>
      </c>
      <c r="G13" s="6">
        <f>'Raw ICP-OES Data'!G13</f>
        <v>2.1688760530130192E-4</v>
      </c>
      <c r="H13" s="6">
        <f>'Raw ICP-OES Data'!H13</f>
        <v>1.8146118960629933E-4</v>
      </c>
      <c r="I13" s="6">
        <f>'Raw ICP-OES Data'!I13</f>
        <v>4.357768029240045E-3</v>
      </c>
      <c r="J13" s="6">
        <f>'Raw ICP-OES Data'!J13</f>
        <v>3.0672539292772398E-4</v>
      </c>
      <c r="K13" s="6">
        <f>'Raw ICP-OES Data'!K13</f>
        <v>5.2681816281015465E-4</v>
      </c>
      <c r="L13" s="6">
        <f>'Raw ICP-OES Data'!L13</f>
        <v>4.3377521060260378E-4</v>
      </c>
      <c r="M13" s="6">
        <f>'Raw ICP-OES Data'!M13</f>
        <v>1.129066128857532E-3</v>
      </c>
      <c r="N13" s="6">
        <f>'Raw ICP-OES Data'!N13</f>
        <v>1.8146118960629934E-3</v>
      </c>
      <c r="O13" s="6">
        <f>'Raw ICP-OES Data'!O13</f>
        <v>6.2369574885195428E-2</v>
      </c>
      <c r="P13" s="6">
        <f>'Raw ICP-OES Data'!P13</f>
        <v>1.8657377271917579E-3</v>
      </c>
      <c r="Q13" s="6">
        <f>'Raw ICP-OES Data'!Q13</f>
        <v>4.1413607755583599E-3</v>
      </c>
      <c r="R13" s="6">
        <f>'Raw ICP-OES Data'!R13</f>
        <v>5.4004578200988367E-4</v>
      </c>
      <c r="S13" s="6">
        <f>'Raw ICP-OES Data'!S13</f>
        <v>5.8599804038352661E-4</v>
      </c>
      <c r="T13" s="6">
        <f>'Raw ICP-OES Data'!T13</f>
        <v>2.1117324925283513E-3</v>
      </c>
      <c r="U13" s="6">
        <f>'Raw ICP-OES Data'!U13</f>
        <v>1.1879423386680005E-3</v>
      </c>
      <c r="V13" s="6">
        <f>'Raw ICP-OES Data'!V13</f>
        <v>5.3703228074918037E-3</v>
      </c>
      <c r="W13" s="6">
        <f>'Raw ICP-OES Data'!W13</f>
        <v>2.8543595452103321E-3</v>
      </c>
      <c r="X13" s="6">
        <f>'Raw ICP-OES Data'!X13</f>
        <v>5.2039468031485486E-3</v>
      </c>
      <c r="Y13" s="6">
        <f>'Raw ICP-OES Data'!Y13</f>
        <v>5.7259970863888249E-3</v>
      </c>
      <c r="Z13" s="6">
        <f>'Raw ICP-OES Data'!Z13</f>
        <v>4.4953847710735503E-3</v>
      </c>
      <c r="AA13" s="6">
        <f>'Raw ICP-OES Data'!AA13</f>
        <v>3.4086562797286165E-3</v>
      </c>
      <c r="AB13" s="6">
        <f>'Raw ICP-OES Data'!AB13</f>
        <v>1.5336269646386205E-4</v>
      </c>
      <c r="AC13" s="6">
        <f>'Raw ICP-OES Data'!AC13</f>
        <v>2.1688760530130192E-4</v>
      </c>
      <c r="AD13" s="6">
        <f>'Raw ICP-OES Data'!AD13</f>
        <v>1.45654197444953E-3</v>
      </c>
      <c r="AE13" s="57">
        <f>'Raw ICP-OES Data'!AE13</f>
        <v>3.0672539292772409E-4</v>
      </c>
    </row>
    <row r="14" spans="1:31" s="2" customFormat="1" hidden="1" x14ac:dyDescent="0.25">
      <c r="B14" s="7" t="str">
        <f>'Raw ICP-OES Data'!B14</f>
        <v>MRL (mg/L)</v>
      </c>
      <c r="C14" s="8">
        <f>'Raw ICP-OES Data'!C14</f>
        <v>3.3255313645591526E-2</v>
      </c>
      <c r="D14" s="8">
        <f>'Raw ICP-OES Data'!D14</f>
        <v>5.8172797646322612E-2</v>
      </c>
      <c r="E14" s="8">
        <f>'Raw ICP-OES Data'!E14</f>
        <v>3.9661384275724257E-2</v>
      </c>
      <c r="F14" s="8">
        <f>'Raw ICP-OES Data'!F14</f>
        <v>0.14698196338553474</v>
      </c>
      <c r="G14" s="8">
        <f>'Raw ICP-OES Data'!G14</f>
        <v>2.168876053013019E-3</v>
      </c>
      <c r="H14" s="8">
        <f>'Raw ICP-OES Data'!H14</f>
        <v>1.8146118960629934E-3</v>
      </c>
      <c r="I14" s="8">
        <f>'Raw ICP-OES Data'!I14</f>
        <v>4.3577680292400452E-2</v>
      </c>
      <c r="J14" s="8">
        <f>'Raw ICP-OES Data'!J14</f>
        <v>3.06725392927724E-3</v>
      </c>
      <c r="K14" s="8">
        <f>'Raw ICP-OES Data'!K14</f>
        <v>5.2681816281015467E-3</v>
      </c>
      <c r="L14" s="8">
        <f>'Raw ICP-OES Data'!L14</f>
        <v>4.3377521060260381E-3</v>
      </c>
      <c r="M14" s="8">
        <f>'Raw ICP-OES Data'!M14</f>
        <v>1.129066128857532E-2</v>
      </c>
      <c r="N14" s="8">
        <f>'Raw ICP-OES Data'!N14</f>
        <v>1.8146118960629933E-2</v>
      </c>
      <c r="O14" s="8">
        <f>'Raw ICP-OES Data'!O14</f>
        <v>0.62369574885195433</v>
      </c>
      <c r="P14" s="8">
        <f>'Raw ICP-OES Data'!P14</f>
        <v>1.8657377271917578E-2</v>
      </c>
      <c r="Q14" s="8">
        <f>'Raw ICP-OES Data'!Q14</f>
        <v>4.1413607755583601E-2</v>
      </c>
      <c r="R14" s="8">
        <f>'Raw ICP-OES Data'!R14</f>
        <v>5.4004578200988369E-3</v>
      </c>
      <c r="S14" s="8">
        <f>'Raw ICP-OES Data'!S14</f>
        <v>5.8599804038352663E-3</v>
      </c>
      <c r="T14" s="8">
        <f>'Raw ICP-OES Data'!T14</f>
        <v>2.1117324925283513E-2</v>
      </c>
      <c r="U14" s="8">
        <f>'Raw ICP-OES Data'!U14</f>
        <v>1.1879423386680006E-2</v>
      </c>
      <c r="V14" s="8">
        <f>'Raw ICP-OES Data'!V14</f>
        <v>5.3703228074918036E-2</v>
      </c>
      <c r="W14" s="8">
        <f>'Raw ICP-OES Data'!W14</f>
        <v>2.8543595452103322E-2</v>
      </c>
      <c r="X14" s="8">
        <f>'Raw ICP-OES Data'!X14</f>
        <v>5.2039468031485486E-2</v>
      </c>
      <c r="Y14" s="8">
        <f>'Raw ICP-OES Data'!Y14</f>
        <v>5.7259970863888246E-2</v>
      </c>
      <c r="Z14" s="8">
        <f>'Raw ICP-OES Data'!Z14</f>
        <v>4.4953847710735503E-2</v>
      </c>
      <c r="AA14" s="8">
        <f>'Raw ICP-OES Data'!AA14</f>
        <v>3.4086562797286168E-2</v>
      </c>
      <c r="AB14" s="8">
        <f>'Raw ICP-OES Data'!AB14</f>
        <v>1.5336269646386205E-3</v>
      </c>
      <c r="AC14" s="8">
        <f>'Raw ICP-OES Data'!AC14</f>
        <v>2.168876053013019E-3</v>
      </c>
      <c r="AD14" s="8">
        <f>'Raw ICP-OES Data'!AD14</f>
        <v>1.4565419744495293E-2</v>
      </c>
      <c r="AE14" s="58">
        <f>'Raw ICP-OES Data'!AE14</f>
        <v>3.0672539292772409E-3</v>
      </c>
    </row>
    <row r="15" spans="1:31" s="2" customFormat="1" ht="15" customHeight="1" x14ac:dyDescent="0.25">
      <c r="B15" s="7" t="str">
        <f>B14</f>
        <v>MRL (mg/L)</v>
      </c>
      <c r="C15" s="8" t="str">
        <f>CONCATENATE("&lt;",ROUND(C14,4))</f>
        <v>&lt;0.0333</v>
      </c>
      <c r="D15" s="8" t="str">
        <f t="shared" ref="D15:AC15" si="0">CONCATENATE("&lt;",ROUND(D14,4))</f>
        <v>&lt;0.0582</v>
      </c>
      <c r="E15" s="8" t="str">
        <f t="shared" si="0"/>
        <v>&lt;0.0397</v>
      </c>
      <c r="F15" s="8" t="str">
        <f t="shared" si="0"/>
        <v>&lt;0.147</v>
      </c>
      <c r="G15" s="8" t="str">
        <f t="shared" si="0"/>
        <v>&lt;0.0022</v>
      </c>
      <c r="H15" s="8" t="str">
        <f t="shared" si="0"/>
        <v>&lt;0.0018</v>
      </c>
      <c r="I15" s="8" t="str">
        <f t="shared" si="0"/>
        <v>&lt;0.0436</v>
      </c>
      <c r="J15" s="8" t="str">
        <f t="shared" si="0"/>
        <v>&lt;0.0031</v>
      </c>
      <c r="K15" s="8" t="str">
        <f t="shared" si="0"/>
        <v>&lt;0.0053</v>
      </c>
      <c r="L15" s="8" t="str">
        <f t="shared" si="0"/>
        <v>&lt;0.0043</v>
      </c>
      <c r="M15" s="8" t="str">
        <f t="shared" si="0"/>
        <v>&lt;0.0113</v>
      </c>
      <c r="N15" s="8" t="str">
        <f t="shared" si="0"/>
        <v>&lt;0.0181</v>
      </c>
      <c r="O15" s="8" t="str">
        <f t="shared" si="0"/>
        <v>&lt;0.6237</v>
      </c>
      <c r="P15" s="8" t="str">
        <f t="shared" si="0"/>
        <v>&lt;0.0187</v>
      </c>
      <c r="Q15" s="8" t="str">
        <f t="shared" si="0"/>
        <v>&lt;0.0414</v>
      </c>
      <c r="R15" s="8" t="str">
        <f t="shared" si="0"/>
        <v>&lt;0.0054</v>
      </c>
      <c r="S15" s="8" t="str">
        <f t="shared" si="0"/>
        <v>&lt;0.0059</v>
      </c>
      <c r="T15" s="8" t="str">
        <f t="shared" si="0"/>
        <v>&lt;0.0211</v>
      </c>
      <c r="U15" s="8" t="str">
        <f t="shared" si="0"/>
        <v>&lt;0.0119</v>
      </c>
      <c r="V15" s="8" t="str">
        <f t="shared" si="0"/>
        <v>&lt;0.0537</v>
      </c>
      <c r="W15" s="8" t="str">
        <f t="shared" si="0"/>
        <v>&lt;0.0285</v>
      </c>
      <c r="X15" s="8" t="str">
        <f t="shared" si="0"/>
        <v>&lt;0.052</v>
      </c>
      <c r="Y15" s="8" t="str">
        <f t="shared" si="0"/>
        <v>&lt;0.0573</v>
      </c>
      <c r="Z15" s="8" t="str">
        <f t="shared" si="0"/>
        <v>&lt;0.045</v>
      </c>
      <c r="AA15" s="8" t="str">
        <f t="shared" si="0"/>
        <v>&lt;0.0341</v>
      </c>
      <c r="AB15" s="8" t="str">
        <f t="shared" si="0"/>
        <v>&lt;0.0015</v>
      </c>
      <c r="AC15" s="8" t="str">
        <f t="shared" si="0"/>
        <v>&lt;0.0022</v>
      </c>
      <c r="AD15" s="8" t="str">
        <f t="shared" ref="AD15:AE15" si="1">CONCATENATE("&lt;",ROUND(AD14,4))</f>
        <v>&lt;0.0146</v>
      </c>
      <c r="AE15" s="58" t="str">
        <f t="shared" si="1"/>
        <v>&lt;0.0031</v>
      </c>
    </row>
    <row r="16" spans="1:31" s="2" customFormat="1" ht="15" customHeight="1" x14ac:dyDescent="0.25">
      <c r="B16" s="44" t="s">
        <v>18</v>
      </c>
      <c r="C16" s="98">
        <f>'Raw ICP-OES Data'!C14*50/0.5</f>
        <v>3.3255313645591524</v>
      </c>
      <c r="D16" s="99">
        <f>'Raw ICP-OES Data'!D14*50/0.5</f>
        <v>5.8172797646322616</v>
      </c>
      <c r="E16" s="98">
        <f>'Raw ICP-OES Data'!E14*50/0.5</f>
        <v>3.9661384275724259</v>
      </c>
      <c r="F16" s="99">
        <f>'Raw ICP-OES Data'!F14*50/0.5</f>
        <v>14.698196338553474</v>
      </c>
      <c r="G16" s="98">
        <f>'Raw ICP-OES Data'!G14*50/0.5</f>
        <v>0.21688760530130191</v>
      </c>
      <c r="H16" s="100">
        <f>'Raw ICP-OES Data'!H14*50/0.5</f>
        <v>0.18146118960629934</v>
      </c>
      <c r="I16" s="101">
        <f>'Raw ICP-OES Data'!I14*50/0.5</f>
        <v>4.3577680292400451</v>
      </c>
      <c r="J16" s="100">
        <f>'Raw ICP-OES Data'!J14*50/0.5</f>
        <v>0.30672539292772399</v>
      </c>
      <c r="K16" s="98">
        <f>'Raw ICP-OES Data'!K14*50/0.5</f>
        <v>0.5268181628101547</v>
      </c>
      <c r="L16" s="99">
        <f>'Raw ICP-OES Data'!L14*50/0.5</f>
        <v>0.43377521060260382</v>
      </c>
      <c r="M16" s="98">
        <f>'Raw ICP-OES Data'!M14*50/0.5</f>
        <v>1.1290661288575321</v>
      </c>
      <c r="N16" s="99">
        <f>'Raw ICP-OES Data'!N14*50/0.5</f>
        <v>1.8146118960629933</v>
      </c>
      <c r="O16" s="100">
        <f>'Raw ICP-OES Data'!O14*50/0.5</f>
        <v>62.369574885195433</v>
      </c>
      <c r="P16" s="99">
        <f>'Raw ICP-OES Data'!P14*50/0.5</f>
        <v>1.8657377271917579</v>
      </c>
      <c r="Q16" s="100">
        <f>'Raw ICP-OES Data'!Q14*50/0.5</f>
        <v>4.1413607755583604</v>
      </c>
      <c r="R16" s="98">
        <f>'Raw ICP-OES Data'!R14*50/0.5</f>
        <v>0.54004578200988373</v>
      </c>
      <c r="S16" s="98">
        <f>'Raw ICP-OES Data'!S14*50/0.5</f>
        <v>0.58599804038352665</v>
      </c>
      <c r="T16" s="100">
        <f>'Raw ICP-OES Data'!T14*50/0.5</f>
        <v>2.1117324925283514</v>
      </c>
      <c r="U16" s="98">
        <f>'Raw ICP-OES Data'!U14*50/0.5</f>
        <v>1.1879423386680006</v>
      </c>
      <c r="V16" s="98">
        <f>'Raw ICP-OES Data'!V14*50/0.5</f>
        <v>5.3703228074918039</v>
      </c>
      <c r="W16" s="99">
        <f>'Raw ICP-OES Data'!W14*50/0.5</f>
        <v>2.8543595452103321</v>
      </c>
      <c r="X16" s="99">
        <f>'Raw ICP-OES Data'!X14*50/0.5</f>
        <v>5.2039468031485487</v>
      </c>
      <c r="Y16" s="98">
        <f>'Raw ICP-OES Data'!Y14*50/0.5</f>
        <v>5.7259970863888245</v>
      </c>
      <c r="Z16" s="98">
        <f>'Raw ICP-OES Data'!Z14*50/0.5</f>
        <v>4.4953847710735504</v>
      </c>
      <c r="AA16" s="100">
        <f>'Raw ICP-OES Data'!AA14*50/0.5</f>
        <v>3.4086562797286168</v>
      </c>
      <c r="AB16" s="98">
        <f>'Raw ICP-OES Data'!AB14*50/0.5</f>
        <v>0.15336269646386205</v>
      </c>
      <c r="AC16" s="98">
        <f>'Raw ICP-OES Data'!AC14*50/0.5</f>
        <v>0.21688760530130191</v>
      </c>
      <c r="AD16" s="98">
        <f>'Raw ICP-OES Data'!AD14*50/0.5</f>
        <v>1.4565419744495294</v>
      </c>
      <c r="AE16" s="102">
        <f>'Raw ICP-OES Data'!AE14*50/0.5</f>
        <v>0.30672539292772411</v>
      </c>
    </row>
    <row r="17" spans="1:31" s="2" customFormat="1" ht="15" customHeight="1" thickBot="1" x14ac:dyDescent="0.3">
      <c r="B17" s="9" t="s">
        <v>19</v>
      </c>
      <c r="C17" s="10" t="str">
        <f>CONCATENATE("&lt;",ROUND(C16,3))</f>
        <v>&lt;3.326</v>
      </c>
      <c r="D17" s="10" t="str">
        <f>CONCATENATE("&lt;",ROUND(D16,2))</f>
        <v>&lt;5.82</v>
      </c>
      <c r="E17" s="10" t="str">
        <f>CONCATENATE("&lt;",ROUND(E16,2))</f>
        <v>&lt;3.97</v>
      </c>
      <c r="F17" s="10" t="str">
        <f>CONCATENATE("&lt;",ROUND(F16,3))</f>
        <v>&lt;14.698</v>
      </c>
      <c r="G17" s="10" t="str">
        <f t="shared" ref="G17:S17" si="2">CONCATENATE("&lt;",ROUND(G16,3))</f>
        <v>&lt;0.217</v>
      </c>
      <c r="H17" s="10" t="str">
        <f>CONCATENATE("&lt;",ROUND(H16,1))</f>
        <v>&lt;0.2</v>
      </c>
      <c r="I17" s="10" t="str">
        <f>CONCATENATE("&lt;",ROUND(I16,3))</f>
        <v>&lt;4.358</v>
      </c>
      <c r="J17" s="10" t="str">
        <f>CONCATENATE("&lt;",ROUND(J16,1))</f>
        <v>&lt;0.3</v>
      </c>
      <c r="K17" s="10" t="str">
        <f>CONCATENATE("&lt;",ROUND(K16,3))</f>
        <v>&lt;0.527</v>
      </c>
      <c r="L17" s="49" t="str">
        <f>CONCATENATE("&lt;",ROUND(L16,2))</f>
        <v>&lt;0.43</v>
      </c>
      <c r="M17" s="10" t="str">
        <f>CONCATENATE("&lt;",ROUND(M16,3))</f>
        <v>&lt;1.129</v>
      </c>
      <c r="N17" s="10" t="str">
        <f>CONCATENATE("&lt;",ROUND(N16,2))</f>
        <v>&lt;1.81</v>
      </c>
      <c r="O17" s="10" t="str">
        <f>CONCATENATE("&lt;",ROUND(O16,1))</f>
        <v>&lt;62.4</v>
      </c>
      <c r="P17" s="10" t="str">
        <f t="shared" si="2"/>
        <v>&lt;1.866</v>
      </c>
      <c r="Q17" s="10" t="str">
        <f>CONCATENATE("&lt;",ROUND(Q16,1))</f>
        <v>&lt;4.1</v>
      </c>
      <c r="R17" s="10" t="str">
        <f>CONCATENATE("&lt;",ROUND(R16,3))</f>
        <v>&lt;0.54</v>
      </c>
      <c r="S17" s="10" t="str">
        <f t="shared" si="2"/>
        <v>&lt;0.586</v>
      </c>
      <c r="T17" s="10" t="str">
        <f>CONCATENATE("&lt;",ROUND(T16,1))</f>
        <v>&lt;2.1</v>
      </c>
      <c r="U17" s="10" t="str">
        <f>CONCATENATE("&lt;",ROUND(U16,3))</f>
        <v>&lt;1.188</v>
      </c>
      <c r="V17" s="10" t="str">
        <f>CONCATENATE("&lt;",ROUND(V16,3))</f>
        <v>&lt;5.37</v>
      </c>
      <c r="W17" s="10" t="str">
        <f>CONCATENATE("&lt;",ROUND(W16,2))</f>
        <v>&lt;2.85</v>
      </c>
      <c r="X17" s="10" t="str">
        <f>CONCATENATE("&lt;",ROUND(X16,2))</f>
        <v>&lt;5.2</v>
      </c>
      <c r="Y17" s="10" t="str">
        <f>CONCATENATE("&lt;",ROUND(Y16,2))</f>
        <v>&lt;5.73</v>
      </c>
      <c r="Z17" s="10" t="str">
        <f>CONCATENATE("&lt;",ROUND(Z16,3))</f>
        <v>&lt;4.495</v>
      </c>
      <c r="AA17" s="10" t="str">
        <f>CONCATENATE("&lt;",ROUND(AA16,1))</f>
        <v>&lt;3.4</v>
      </c>
      <c r="AB17" s="10" t="str">
        <f>CONCATENATE("&lt;",ROUND(AB16,3))</f>
        <v>&lt;0.153</v>
      </c>
      <c r="AC17" s="10" t="str">
        <f>CONCATENATE("&lt;",ROUND(AC16,3))</f>
        <v>&lt;0.217</v>
      </c>
      <c r="AD17" s="10" t="str">
        <f t="shared" ref="AD17:AE17" si="3">CONCATENATE("&lt;",ROUND(AD16,3))</f>
        <v>&lt;1.457</v>
      </c>
      <c r="AE17" s="59" t="str">
        <f t="shared" si="3"/>
        <v>&lt;0.307</v>
      </c>
    </row>
    <row r="18" spans="1:31" s="2" customFormat="1" ht="11.25" customHeight="1" x14ac:dyDescent="0.25">
      <c r="B18" s="21" t="s">
        <v>20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s="2" customFormat="1" ht="3.75" customHeight="1" x14ac:dyDescent="0.25"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33" customFormat="1" ht="11.25" customHeight="1" x14ac:dyDescent="0.25">
      <c r="A20" s="146" t="s">
        <v>10</v>
      </c>
      <c r="B20" s="148" t="s">
        <v>21</v>
      </c>
      <c r="C20" s="39" t="str">
        <f>'Raw ICP-OES Data'!C16</f>
        <v>Ag</v>
      </c>
      <c r="D20" s="39" t="str">
        <f>'Raw ICP-OES Data'!D16</f>
        <v xml:space="preserve">Al </v>
      </c>
      <c r="E20" s="39" t="str">
        <f>'Raw ICP-OES Data'!E16</f>
        <v xml:space="preserve">As </v>
      </c>
      <c r="F20" s="39" t="str">
        <f>'Raw ICP-OES Data'!F16</f>
        <v xml:space="preserve">B </v>
      </c>
      <c r="G20" s="39" t="str">
        <f>'Raw ICP-OES Data'!G16</f>
        <v xml:space="preserve">Ba </v>
      </c>
      <c r="H20" s="39" t="str">
        <f>'Raw ICP-OES Data'!H16</f>
        <v xml:space="preserve">Be </v>
      </c>
      <c r="I20" s="39" t="str">
        <f>'Raw ICP-OES Data'!I16</f>
        <v xml:space="preserve">Ca </v>
      </c>
      <c r="J20" s="39" t="str">
        <f>'Raw ICP-OES Data'!J16</f>
        <v xml:space="preserve">Cd </v>
      </c>
      <c r="K20" s="39" t="str">
        <f>'Raw ICP-OES Data'!K16</f>
        <v xml:space="preserve">Co </v>
      </c>
      <c r="L20" s="39" t="str">
        <f>'Raw ICP-OES Data'!L16</f>
        <v xml:space="preserve">Cr </v>
      </c>
      <c r="M20" s="39" t="str">
        <f>'Raw ICP-OES Data'!M16</f>
        <v xml:space="preserve">Cu </v>
      </c>
      <c r="N20" s="39" t="str">
        <f>'Raw ICP-OES Data'!N16</f>
        <v xml:space="preserve">Fe </v>
      </c>
      <c r="O20" s="39" t="str">
        <f>'Raw ICP-OES Data'!O16</f>
        <v xml:space="preserve">K </v>
      </c>
      <c r="P20" s="39" t="str">
        <f>'Raw ICP-OES Data'!P16</f>
        <v xml:space="preserve">Li </v>
      </c>
      <c r="Q20" s="39" t="str">
        <f>'Raw ICP-OES Data'!Q16</f>
        <v xml:space="preserve">Mg </v>
      </c>
      <c r="R20" s="39" t="str">
        <f>'Raw ICP-OES Data'!R16</f>
        <v xml:space="preserve">Mn </v>
      </c>
      <c r="S20" s="39" t="str">
        <f>'Raw ICP-OES Data'!S16</f>
        <v xml:space="preserve">Mo </v>
      </c>
      <c r="T20" s="39" t="str">
        <f>'Raw ICP-OES Data'!T16</f>
        <v xml:space="preserve">Na </v>
      </c>
      <c r="U20" s="39" t="str">
        <f>'Raw ICP-OES Data'!U16</f>
        <v xml:space="preserve">Ni </v>
      </c>
      <c r="V20" s="39" t="str">
        <f>'Raw ICP-OES Data'!V16</f>
        <v xml:space="preserve">P </v>
      </c>
      <c r="W20" s="39" t="str">
        <f>'Raw ICP-OES Data'!W16</f>
        <v xml:space="preserve">Pb </v>
      </c>
      <c r="X20" s="39" t="str">
        <f>'Raw ICP-OES Data'!X16</f>
        <v xml:space="preserve">S </v>
      </c>
      <c r="Y20" s="39" t="str">
        <f>'Raw ICP-OES Data'!Y16</f>
        <v xml:space="preserve">Sb </v>
      </c>
      <c r="Z20" s="39" t="str">
        <f>'Raw ICP-OES Data'!Z16</f>
        <v xml:space="preserve">Se </v>
      </c>
      <c r="AA20" s="39" t="str">
        <f>'Raw ICP-OES Data'!AA16</f>
        <v>Si</v>
      </c>
      <c r="AB20" s="39" t="str">
        <f>'Raw ICP-OES Data'!AB16</f>
        <v xml:space="preserve">Sr </v>
      </c>
      <c r="AC20" s="39" t="str">
        <f>'Raw ICP-OES Data'!AC16</f>
        <v xml:space="preserve">Ti </v>
      </c>
      <c r="AD20" s="39" t="str">
        <f>'Raw ICP-OES Data'!AD16</f>
        <v xml:space="preserve">V </v>
      </c>
      <c r="AE20" s="39" t="str">
        <f>'Raw ICP-OES Data'!AE16</f>
        <v xml:space="preserve">Zn </v>
      </c>
    </row>
    <row r="21" spans="1:31" s="42" customFormat="1" ht="11.25" customHeight="1" x14ac:dyDescent="0.25">
      <c r="A21" s="146"/>
      <c r="B21" s="148"/>
      <c r="C21" s="50" t="s">
        <v>22</v>
      </c>
      <c r="D21" s="50" t="s">
        <v>22</v>
      </c>
      <c r="E21" s="50" t="s">
        <v>22</v>
      </c>
      <c r="F21" s="50" t="s">
        <v>22</v>
      </c>
      <c r="G21" s="50" t="s">
        <v>22</v>
      </c>
      <c r="H21" s="50" t="s">
        <v>22</v>
      </c>
      <c r="I21" s="50" t="s">
        <v>22</v>
      </c>
      <c r="J21" s="50" t="s">
        <v>22</v>
      </c>
      <c r="K21" s="50" t="s">
        <v>22</v>
      </c>
      <c r="L21" s="50" t="s">
        <v>22</v>
      </c>
      <c r="M21" s="50" t="s">
        <v>22</v>
      </c>
      <c r="N21" s="50" t="s">
        <v>22</v>
      </c>
      <c r="O21" s="50" t="s">
        <v>22</v>
      </c>
      <c r="P21" s="50" t="s">
        <v>22</v>
      </c>
      <c r="Q21" s="50" t="s">
        <v>22</v>
      </c>
      <c r="R21" s="50" t="s">
        <v>22</v>
      </c>
      <c r="S21" s="50" t="s">
        <v>22</v>
      </c>
      <c r="T21" s="50" t="s">
        <v>22</v>
      </c>
      <c r="U21" s="50" t="s">
        <v>22</v>
      </c>
      <c r="V21" s="50" t="s">
        <v>22</v>
      </c>
      <c r="W21" s="50" t="s">
        <v>22</v>
      </c>
      <c r="X21" s="50" t="s">
        <v>22</v>
      </c>
      <c r="Y21" s="50" t="s">
        <v>22</v>
      </c>
      <c r="Z21" s="50" t="s">
        <v>22</v>
      </c>
      <c r="AA21" s="50" t="s">
        <v>22</v>
      </c>
      <c r="AB21" s="50" t="s">
        <v>22</v>
      </c>
      <c r="AC21" s="50" t="s">
        <v>22</v>
      </c>
      <c r="AD21" s="50" t="s">
        <v>22</v>
      </c>
      <c r="AE21" s="50" t="s">
        <v>22</v>
      </c>
    </row>
    <row r="22" spans="1:31" s="19" customFormat="1" ht="3.75" customHeight="1" x14ac:dyDescent="0.25">
      <c r="A22" s="18"/>
      <c r="B22" s="18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1" customFormat="1" ht="15.75" thickBot="1" x14ac:dyDescent="0.3">
      <c r="A23" s="11" t="str">
        <f>'Raw ICP-OES Data'!A19</f>
        <v>Total Metals after Acid Digestion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2" customFormat="1" ht="15.75" thickBot="1" x14ac:dyDescent="0.25">
      <c r="A24" s="51" t="str">
        <f>'Raw ICP-OES Data'!A20</f>
        <v>LiBs-Res-NaCl-1</v>
      </c>
      <c r="B24" s="108">
        <v>0.50060000000000004</v>
      </c>
      <c r="C24" s="46" t="str">
        <f>IF('Raw ICP-OES Data'!C20&lt;'ICP-OES Total Metals'!C$13,'ICP-OES Total Metals'!C$17,'Raw ICP-OES Data'!C20*50/'ICP-OES Total Metals'!$B24)</f>
        <v>&lt;3.326</v>
      </c>
      <c r="D24" s="46">
        <f>IF('Raw ICP-OES Data'!D20&lt;'ICP-OES Total Metals'!D$13,'ICP-OES Total Metals'!D$17,'Raw ICP-OES Data'!D20*50/'ICP-OES Total Metals'!$B24)</f>
        <v>114540.42149420695</v>
      </c>
      <c r="E24" s="46">
        <f>IF('Raw ICP-OES Data'!E20&lt;'ICP-OES Total Metals'!E$13,'ICP-OES Total Metals'!E$17,'Raw ICP-OES Data'!E20*50/'ICP-OES Total Metals'!$B24)</f>
        <v>4.9840191769876148</v>
      </c>
      <c r="F24" s="46" t="str">
        <f>IF('Raw ICP-OES Data'!F20&lt;'ICP-OES Total Metals'!F$13,'ICP-OES Total Metals'!F$17,'Raw ICP-OES Data'!F20*50/'ICP-OES Total Metals'!$B24)</f>
        <v>&lt;14.698</v>
      </c>
      <c r="G24" s="46">
        <f>IF('Raw ICP-OES Data'!G20&lt;'ICP-OES Total Metals'!G$13,'ICP-OES Total Metals'!G$17,'Raw ICP-OES Data'!G20*50/'ICP-OES Total Metals'!$B24)</f>
        <v>3.1162604874151012</v>
      </c>
      <c r="H24" s="46" t="str">
        <f>IF('Raw ICP-OES Data'!H20&lt;'ICP-OES Total Metals'!H$13,'ICP-OES Total Metals'!H$17,'Raw ICP-OES Data'!H20*50/'ICP-OES Total Metals'!$B24)</f>
        <v>&lt;0.2</v>
      </c>
      <c r="I24" s="46">
        <f>IF('Raw ICP-OES Data'!I20&lt;'ICP-OES Total Metals'!I$13,'ICP-OES Total Metals'!I$17,'Raw ICP-OES Data'!I20*50/'ICP-OES Total Metals'!$B24)</f>
        <v>784.47862564922082</v>
      </c>
      <c r="J24" s="46" t="str">
        <f>IF('Raw ICP-OES Data'!J20&lt;'ICP-OES Total Metals'!J$13,'ICP-OES Total Metals'!J$17,'Raw ICP-OES Data'!J20*50/'ICP-OES Total Metals'!$B24)</f>
        <v>&lt;0.3</v>
      </c>
      <c r="K24" s="46" t="str">
        <f>IF('Raw ICP-OES Data'!K20&lt;'ICP-OES Total Metals'!K$13,'ICP-OES Total Metals'!K$17,'Raw ICP-OES Data'!K20*50/'ICP-OES Total Metals'!$B24)</f>
        <v>&lt;0.527</v>
      </c>
      <c r="L24" s="46">
        <f>IF('Raw ICP-OES Data'!L20&lt;'ICP-OES Total Metals'!L$13,'ICP-OES Total Metals'!L$17,'Raw ICP-OES Data'!L20*50/'ICP-OES Total Metals'!$B24)</f>
        <v>57.431082700759077</v>
      </c>
      <c r="M24" s="46">
        <f>IF('Raw ICP-OES Data'!M20&lt;'ICP-OES Total Metals'!M$13,'ICP-OES Total Metals'!M$17,'Raw ICP-OES Data'!M20*50/'ICP-OES Total Metals'!$B24)</f>
        <v>23.272073511785855</v>
      </c>
      <c r="N24" s="46">
        <f>IF('Raw ICP-OES Data'!N20&lt;'ICP-OES Total Metals'!N$13,'ICP-OES Total Metals'!N$17,'Raw ICP-OES Data'!N20*50/'ICP-OES Total Metals'!$B24)</f>
        <v>161992.78865361563</v>
      </c>
      <c r="O24" s="46">
        <f>IF('Raw ICP-OES Data'!O20&lt;'ICP-OES Total Metals'!O$13,'ICP-OES Total Metals'!O$17,'Raw ICP-OES Data'!O20*50/'ICP-OES Total Metals'!$B24)</f>
        <v>22.233320015980819</v>
      </c>
      <c r="P24" s="46">
        <f>IF('Raw ICP-OES Data'!P20&lt;'ICP-OES Total Metals'!P$13,'ICP-OES Total Metals'!P$17,'Raw ICP-OES Data'!P20*50/'ICP-OES Total Metals'!$B24)</f>
        <v>377.43707550938871</v>
      </c>
      <c r="Q24" s="46">
        <f>IF('Raw ICP-OES Data'!Q20&lt;'ICP-OES Total Metals'!Q$13,'ICP-OES Total Metals'!Q$17,'Raw ICP-OES Data'!Q20*50/'ICP-OES Total Metals'!$B24)</f>
        <v>518.88733519776258</v>
      </c>
      <c r="R24" s="46">
        <f>IF('Raw ICP-OES Data'!R20&lt;'ICP-OES Total Metals'!R$13,'ICP-OES Total Metals'!R$17,'Raw ICP-OES Data'!R20*50/'ICP-OES Total Metals'!$B24)</f>
        <v>317.85856971634036</v>
      </c>
      <c r="S24" s="46">
        <f>IF('Raw ICP-OES Data'!S20&lt;'ICP-OES Total Metals'!S$13,'ICP-OES Total Metals'!S$17,'Raw ICP-OES Data'!S20*50/'ICP-OES Total Metals'!$B24)</f>
        <v>5.3036356372353177</v>
      </c>
      <c r="T24" s="46">
        <f>IF('Raw ICP-OES Data'!T20&lt;'ICP-OES Total Metals'!T$13,'ICP-OES Total Metals'!T$17,'Raw ICP-OES Data'!T20*50/'ICP-OES Total Metals'!$B24)</f>
        <v>95754.674390731117</v>
      </c>
      <c r="U24" s="46">
        <f>IF('Raw ICP-OES Data'!U20&lt;'ICP-OES Total Metals'!U$13,'ICP-OES Total Metals'!U$17,'Raw ICP-OES Data'!U20*50/'ICP-OES Total Metals'!$B24)</f>
        <v>2942.7287255293641</v>
      </c>
      <c r="V24" s="46">
        <f>IF('Raw ICP-OES Data'!V20&lt;'ICP-OES Total Metals'!V$13,'ICP-OES Total Metals'!V$17,'Raw ICP-OES Data'!V20*50/'ICP-OES Total Metals'!$B24)</f>
        <v>2186.1466240511386</v>
      </c>
      <c r="W24" s="46">
        <f>IF('Raw ICP-OES Data'!W20&lt;'ICP-OES Total Metals'!W$13,'ICP-OES Total Metals'!W$17,'Raw ICP-OES Data'!W20*50/'ICP-OES Total Metals'!$B24)</f>
        <v>5.2137435077906513</v>
      </c>
      <c r="X24" s="46">
        <f>IF('Raw ICP-OES Data'!X20&lt;'ICP-OES Total Metals'!X$13,'ICP-OES Total Metals'!X$17,'Raw ICP-OES Data'!X20*50/'ICP-OES Total Metals'!$B24)</f>
        <v>859.04914103076294</v>
      </c>
      <c r="Y24" s="46">
        <f>IF('Raw ICP-OES Data'!Y20&lt;'ICP-OES Total Metals'!Y$13,'ICP-OES Total Metals'!Y$17,'Raw ICP-OES Data'!Y20*50/'ICP-OES Total Metals'!$B24)</f>
        <v>10.297642828605673</v>
      </c>
      <c r="Z24" s="46" t="str">
        <f>IF('Raw ICP-OES Data'!Z20&lt;'ICP-OES Total Metals'!Z$13,'ICP-OES Total Metals'!Z$17,'Raw ICP-OES Data'!Z20*50/'ICP-OES Total Metals'!$B24)</f>
        <v>&lt;4.495</v>
      </c>
      <c r="AA24" s="46">
        <f>IF('Raw ICP-OES Data'!AA20&lt;'ICP-OES Total Metals'!AA$13,'ICP-OES Total Metals'!AA$17,'Raw ICP-OES Data'!AA20*50/'ICP-OES Total Metals'!$B24)</f>
        <v>283.57970435477426</v>
      </c>
      <c r="AB24" s="46">
        <f>IF('Raw ICP-OES Data'!AB20&lt;'ICP-OES Total Metals'!AB$13,'ICP-OES Total Metals'!AB$17,'Raw ICP-OES Data'!AB20*50/'ICP-OES Total Metals'!$B24)</f>
        <v>15.181781861765879</v>
      </c>
      <c r="AC24" s="46">
        <f>IF('Raw ICP-OES Data'!AC20&lt;'ICP-OES Total Metals'!AC$13,'ICP-OES Total Metals'!AC$17,'Raw ICP-OES Data'!AC20*50/'ICP-OES Total Metals'!$B24)</f>
        <v>46.933679584498591</v>
      </c>
      <c r="AD24" s="46">
        <f>IF('Raw ICP-OES Data'!AD20&lt;'ICP-OES Total Metals'!AD$13,'ICP-OES Total Metals'!AD$17,'Raw ICP-OES Data'!AD20*50/'ICP-OES Total Metals'!$B24)</f>
        <v>15.681182580902915</v>
      </c>
      <c r="AE24" s="46">
        <f>IF('Raw ICP-OES Data'!AE20&lt;'ICP-OES Total Metals'!AE$13,'ICP-OES Total Metals'!AE$17,'Raw ICP-OES Data'!AE20*50/'ICP-OES Total Metals'!$B24)</f>
        <v>14.61246504194966</v>
      </c>
    </row>
    <row r="25" spans="1:31" s="22" customFormat="1" ht="15.75" thickBot="1" x14ac:dyDescent="0.25">
      <c r="A25" s="51" t="str">
        <f>'Raw ICP-OES Data'!A21</f>
        <v>LiBs-Res-NaCl-2</v>
      </c>
      <c r="B25" s="108">
        <v>0.50029999999999997</v>
      </c>
      <c r="C25" s="46" t="str">
        <f>IF('Raw ICP-OES Data'!C21&lt;'ICP-OES Total Metals'!C$13,'ICP-OES Total Metals'!C$17,'Raw ICP-OES Data'!C21*50/'ICP-OES Total Metals'!$B25)</f>
        <v>&lt;3.326</v>
      </c>
      <c r="D25" s="46">
        <f>IF('Raw ICP-OES Data'!D21&lt;'ICP-OES Total Metals'!D$13,'ICP-OES Total Metals'!D$17,'Raw ICP-OES Data'!D21*50/'ICP-OES Total Metals'!$B25)</f>
        <v>118822.01678992606</v>
      </c>
      <c r="E25" s="46">
        <f>IF('Raw ICP-OES Data'!E21&lt;'ICP-OES Total Metals'!E$13,'ICP-OES Total Metals'!E$17,'Raw ICP-OES Data'!E21*50/'ICP-OES Total Metals'!$B25)</f>
        <v>4.2674395362782338</v>
      </c>
      <c r="F25" s="46" t="str">
        <f>IF('Raw ICP-OES Data'!F21&lt;'ICP-OES Total Metals'!F$13,'ICP-OES Total Metals'!F$17,'Raw ICP-OES Data'!F21*50/'ICP-OES Total Metals'!$B25)</f>
        <v>&lt;14.698</v>
      </c>
      <c r="G25" s="46">
        <f>IF('Raw ICP-OES Data'!G21&lt;'ICP-OES Total Metals'!G$13,'ICP-OES Total Metals'!G$17,'Raw ICP-OES Data'!G21*50/'ICP-OES Total Metals'!$B25)</f>
        <v>3.1980811513092147</v>
      </c>
      <c r="H25" s="46" t="str">
        <f>IF('Raw ICP-OES Data'!H21&lt;'ICP-OES Total Metals'!H$13,'ICP-OES Total Metals'!H$17,'Raw ICP-OES Data'!H21*50/'ICP-OES Total Metals'!$B25)</f>
        <v>&lt;0.2</v>
      </c>
      <c r="I25" s="46">
        <f>IF('Raw ICP-OES Data'!I21&lt;'ICP-OES Total Metals'!I$13,'ICP-OES Total Metals'!I$17,'Raw ICP-OES Data'!I21*50/'ICP-OES Total Metals'!$B25)</f>
        <v>779.9720167899261</v>
      </c>
      <c r="J25" s="46" t="str">
        <f>IF('Raw ICP-OES Data'!J21&lt;'ICP-OES Total Metals'!J$13,'ICP-OES Total Metals'!J$17,'Raw ICP-OES Data'!J21*50/'ICP-OES Total Metals'!$B25)</f>
        <v>&lt;0.3</v>
      </c>
      <c r="K25" s="46" t="str">
        <f>IF('Raw ICP-OES Data'!K21&lt;'ICP-OES Total Metals'!K$13,'ICP-OES Total Metals'!K$17,'Raw ICP-OES Data'!K21*50/'ICP-OES Total Metals'!$B25)</f>
        <v>&lt;0.527</v>
      </c>
      <c r="L25" s="46">
        <f>IF('Raw ICP-OES Data'!L21&lt;'ICP-OES Total Metals'!L$13,'ICP-OES Total Metals'!L$17,'Raw ICP-OES Data'!L21*50/'ICP-OES Total Metals'!$B25)</f>
        <v>60.013991605036985</v>
      </c>
      <c r="M25" s="46">
        <f>IF('Raw ICP-OES Data'!M21&lt;'ICP-OES Total Metals'!M$13,'ICP-OES Total Metals'!M$17,'Raw ICP-OES Data'!M21*50/'ICP-OES Total Metals'!$B25)</f>
        <v>25.744553268039176</v>
      </c>
      <c r="N25" s="46">
        <f>IF('Raw ICP-OES Data'!N21&lt;'ICP-OES Total Metals'!N$13,'ICP-OES Total Metals'!N$17,'Raw ICP-OES Data'!N21*50/'ICP-OES Total Metals'!$B25)</f>
        <v>168083.41994803119</v>
      </c>
      <c r="O25" s="46">
        <f>IF('Raw ICP-OES Data'!O21&lt;'ICP-OES Total Metals'!O$13,'ICP-OES Total Metals'!O$17,'Raw ICP-OES Data'!O21*50/'ICP-OES Total Metals'!$B25)</f>
        <v>20.257845292824307</v>
      </c>
      <c r="P25" s="46">
        <f>IF('Raw ICP-OES Data'!P21&lt;'ICP-OES Total Metals'!P$13,'ICP-OES Total Metals'!P$17,'Raw ICP-OES Data'!P21*50/'ICP-OES Total Metals'!$B25)</f>
        <v>393.70377773336003</v>
      </c>
      <c r="Q25" s="46">
        <f>IF('Raw ICP-OES Data'!Q21&lt;'ICP-OES Total Metals'!Q$13,'ICP-OES Total Metals'!Q$17,'Raw ICP-OES Data'!Q21*50/'ICP-OES Total Metals'!$B25)</f>
        <v>532.28063162102728</v>
      </c>
      <c r="R25" s="46">
        <f>IF('Raw ICP-OES Data'!R21&lt;'ICP-OES Total Metals'!R$13,'ICP-OES Total Metals'!R$17,'Raw ICP-OES Data'!R21*50/'ICP-OES Total Metals'!$B25)</f>
        <v>328.00319808115131</v>
      </c>
      <c r="S25" s="46">
        <f>IF('Raw ICP-OES Data'!S21&lt;'ICP-OES Total Metals'!S$13,'ICP-OES Total Metals'!S$17,'Raw ICP-OES Data'!S21*50/'ICP-OES Total Metals'!$B25)</f>
        <v>5.0069958025184889</v>
      </c>
      <c r="T25" s="46">
        <f>IF('Raw ICP-OES Data'!T21&lt;'ICP-OES Total Metals'!T$13,'ICP-OES Total Metals'!T$17,'Raw ICP-OES Data'!T21*50/'ICP-OES Total Metals'!$B25)</f>
        <v>88807.975214871098</v>
      </c>
      <c r="U25" s="46">
        <f>IF('Raw ICP-OES Data'!U21&lt;'ICP-OES Total Metals'!U$13,'ICP-OES Total Metals'!U$17,'Raw ICP-OES Data'!U21*50/'ICP-OES Total Metals'!$B25)</f>
        <v>2929.882070757546</v>
      </c>
      <c r="V25" s="46">
        <f>IF('Raw ICP-OES Data'!V21&lt;'ICP-OES Total Metals'!V$13,'ICP-OES Total Metals'!V$17,'Raw ICP-OES Data'!V21*50/'ICP-OES Total Metals'!$B25)</f>
        <v>2275.6346192284632</v>
      </c>
      <c r="W25" s="46">
        <f>IF('Raw ICP-OES Data'!W21&lt;'ICP-OES Total Metals'!W$13,'ICP-OES Total Metals'!W$17,'Raw ICP-OES Data'!W21*50/'ICP-OES Total Metals'!$B25)</f>
        <v>1.5290825504697183</v>
      </c>
      <c r="X25" s="46">
        <f>IF('Raw ICP-OES Data'!X21&lt;'ICP-OES Total Metals'!X$13,'ICP-OES Total Metals'!X$17,'Raw ICP-OES Data'!X21*50/'ICP-OES Total Metals'!$B25)</f>
        <v>887.76733959624232</v>
      </c>
      <c r="Y25" s="46">
        <f>IF('Raw ICP-OES Data'!Y21&lt;'ICP-OES Total Metals'!Y$13,'ICP-OES Total Metals'!Y$17,'Raw ICP-OES Data'!Y21*50/'ICP-OES Total Metals'!$B25)</f>
        <v>9.3244053567859293</v>
      </c>
      <c r="Z25" s="46" t="str">
        <f>IF('Raw ICP-OES Data'!Z21&lt;'ICP-OES Total Metals'!Z$13,'ICP-OES Total Metals'!Z$17,'Raw ICP-OES Data'!Z21*50/'ICP-OES Total Metals'!$B25)</f>
        <v>&lt;4.495</v>
      </c>
      <c r="AA25" s="46">
        <f>IF('Raw ICP-OES Data'!AA21&lt;'ICP-OES Total Metals'!AA$13,'ICP-OES Total Metals'!AA$17,'Raw ICP-OES Data'!AA21*50/'ICP-OES Total Metals'!$B25)</f>
        <v>329.83210073955627</v>
      </c>
      <c r="AB25" s="46">
        <f>IF('Raw ICP-OES Data'!AB21&lt;'ICP-OES Total Metals'!AB$13,'ICP-OES Total Metals'!AB$17,'Raw ICP-OES Data'!AB21*50/'ICP-OES Total Metals'!$B25)</f>
        <v>15.540675594643217</v>
      </c>
      <c r="AC25" s="46">
        <f>IF('Raw ICP-OES Data'!AC21&lt;'ICP-OES Total Metals'!AC$13,'ICP-OES Total Metals'!AC$17,'Raw ICP-OES Data'!AC21*50/'ICP-OES Total Metals'!$B25)</f>
        <v>49.000599640215874</v>
      </c>
      <c r="AD25" s="46">
        <f>IF('Raw ICP-OES Data'!AD21&lt;'ICP-OES Total Metals'!AD$13,'ICP-OES Total Metals'!AD$17,'Raw ICP-OES Data'!AD21*50/'ICP-OES Total Metals'!$B25)</f>
        <v>16.380171896861885</v>
      </c>
      <c r="AE25" s="46">
        <f>IF('Raw ICP-OES Data'!AE21&lt;'ICP-OES Total Metals'!AE$13,'ICP-OES Total Metals'!AE$17,'Raw ICP-OES Data'!AE21*50/'ICP-OES Total Metals'!$B25)</f>
        <v>17.169698181091345</v>
      </c>
    </row>
    <row r="26" spans="1:31" s="22" customFormat="1" ht="15.75" thickBot="1" x14ac:dyDescent="0.25">
      <c r="A26" s="51" t="str">
        <f>'Raw ICP-OES Data'!A22</f>
        <v>LiBs-Res-NaCl-3</v>
      </c>
      <c r="B26" s="108">
        <v>0.50009999999999999</v>
      </c>
      <c r="C26" s="46" t="str">
        <f>IF('Raw ICP-OES Data'!C22&lt;'ICP-OES Total Metals'!C$13,'ICP-OES Total Metals'!C$17,'Raw ICP-OES Data'!C22*50/'ICP-OES Total Metals'!$B26)</f>
        <v>&lt;3.326</v>
      </c>
      <c r="D26" s="46">
        <f>IF('Raw ICP-OES Data'!D22&lt;'ICP-OES Total Metals'!D$13,'ICP-OES Total Metals'!D$17,'Raw ICP-OES Data'!D22*50/'ICP-OES Total Metals'!$B26)</f>
        <v>111478.05438912219</v>
      </c>
      <c r="E26" s="46">
        <f>IF('Raw ICP-OES Data'!E22&lt;'ICP-OES Total Metals'!E$13,'ICP-OES Total Metals'!E$17,'Raw ICP-OES Data'!E22*50/'ICP-OES Total Metals'!$B26)</f>
        <v>4.0291941611677666</v>
      </c>
      <c r="F26" s="46" t="str">
        <f>IF('Raw ICP-OES Data'!F22&lt;'ICP-OES Total Metals'!F$13,'ICP-OES Total Metals'!F$17,'Raw ICP-OES Data'!F22*50/'ICP-OES Total Metals'!$B26)</f>
        <v>&lt;14.698</v>
      </c>
      <c r="G26" s="46">
        <f>IF('Raw ICP-OES Data'!G22&lt;'ICP-OES Total Metals'!G$13,'ICP-OES Total Metals'!G$17,'Raw ICP-OES Data'!G22*50/'ICP-OES Total Metals'!$B26)</f>
        <v>3.0793841231753651</v>
      </c>
      <c r="H26" s="46" t="str">
        <f>IF('Raw ICP-OES Data'!H22&lt;'ICP-OES Total Metals'!H$13,'ICP-OES Total Metals'!H$17,'Raw ICP-OES Data'!H22*50/'ICP-OES Total Metals'!$B26)</f>
        <v>&lt;0.2</v>
      </c>
      <c r="I26" s="46">
        <f>IF('Raw ICP-OES Data'!I22&lt;'ICP-OES Total Metals'!I$13,'ICP-OES Total Metals'!I$17,'Raw ICP-OES Data'!I22*50/'ICP-OES Total Metals'!$B26)</f>
        <v>798.25034993001395</v>
      </c>
      <c r="J26" s="46" t="str">
        <f>IF('Raw ICP-OES Data'!J22&lt;'ICP-OES Total Metals'!J$13,'ICP-OES Total Metals'!J$17,'Raw ICP-OES Data'!J22*50/'ICP-OES Total Metals'!$B26)</f>
        <v>&lt;0.3</v>
      </c>
      <c r="K26" s="46" t="str">
        <f>IF('Raw ICP-OES Data'!K22&lt;'ICP-OES Total Metals'!K$13,'ICP-OES Total Metals'!K$17,'Raw ICP-OES Data'!K22*50/'ICP-OES Total Metals'!$B26)</f>
        <v>&lt;0.527</v>
      </c>
      <c r="L26" s="46">
        <f>IF('Raw ICP-OES Data'!L22&lt;'ICP-OES Total Metals'!L$13,'ICP-OES Total Metals'!L$17,'Raw ICP-OES Data'!L22*50/'ICP-OES Total Metals'!$B26)</f>
        <v>55.538892221555685</v>
      </c>
      <c r="M26" s="46">
        <f>IF('Raw ICP-OES Data'!M22&lt;'ICP-OES Total Metals'!M$13,'ICP-OES Total Metals'!M$17,'Raw ICP-OES Data'!M22*50/'ICP-OES Total Metals'!$B26)</f>
        <v>18.086382723455309</v>
      </c>
      <c r="N26" s="46">
        <f>IF('Raw ICP-OES Data'!N22&lt;'ICP-OES Total Metals'!N$13,'ICP-OES Total Metals'!N$17,'Raw ICP-OES Data'!N22*50/'ICP-OES Total Metals'!$B26)</f>
        <v>159717.92641471705</v>
      </c>
      <c r="O26" s="46">
        <f>IF('Raw ICP-OES Data'!O22&lt;'ICP-OES Total Metals'!O$13,'ICP-OES Total Metals'!O$17,'Raw ICP-OES Data'!O22*50/'ICP-OES Total Metals'!$B26)</f>
        <v>21.425714857028595</v>
      </c>
      <c r="P26" s="46">
        <f>IF('Raw ICP-OES Data'!P22&lt;'ICP-OES Total Metals'!P$13,'ICP-OES Total Metals'!P$17,'Raw ICP-OES Data'!P22*50/'ICP-OES Total Metals'!$B26)</f>
        <v>362.86742651469706</v>
      </c>
      <c r="Q26" s="46">
        <f>IF('Raw ICP-OES Data'!Q22&lt;'ICP-OES Total Metals'!Q$13,'ICP-OES Total Metals'!Q$17,'Raw ICP-OES Data'!Q22*50/'ICP-OES Total Metals'!$B26)</f>
        <v>510.95780843831233</v>
      </c>
      <c r="R26" s="46">
        <f>IF('Raw ICP-OES Data'!R22&lt;'ICP-OES Total Metals'!R$13,'ICP-OES Total Metals'!R$17,'Raw ICP-OES Data'!R22*50/'ICP-OES Total Metals'!$B26)</f>
        <v>314.80703859228157</v>
      </c>
      <c r="S26" s="46">
        <f>IF('Raw ICP-OES Data'!S22&lt;'ICP-OES Total Metals'!S$13,'ICP-OES Total Metals'!S$17,'Raw ICP-OES Data'!S22*50/'ICP-OES Total Metals'!$B26)</f>
        <v>4.5790841831633671</v>
      </c>
      <c r="T26" s="46">
        <f>IF('Raw ICP-OES Data'!T22&lt;'ICP-OES Total Metals'!T$13,'ICP-OES Total Metals'!T$17,'Raw ICP-OES Data'!T22*50/'ICP-OES Total Metals'!$B26)</f>
        <v>100074.08518296342</v>
      </c>
      <c r="U26" s="46">
        <f>IF('Raw ICP-OES Data'!U22&lt;'ICP-OES Total Metals'!U$13,'ICP-OES Total Metals'!U$17,'Raw ICP-OES Data'!U22*50/'ICP-OES Total Metals'!$B26)</f>
        <v>2808.9382123575288</v>
      </c>
      <c r="V26" s="46">
        <f>IF('Raw ICP-OES Data'!V22&lt;'ICP-OES Total Metals'!V$13,'ICP-OES Total Metals'!V$17,'Raw ICP-OES Data'!V22*50/'ICP-OES Total Metals'!$B26)</f>
        <v>2094.8610277944413</v>
      </c>
      <c r="W26" s="46">
        <f>IF('Raw ICP-OES Data'!W22&lt;'ICP-OES Total Metals'!W$13,'ICP-OES Total Metals'!W$17,'Raw ICP-OES Data'!W22*50/'ICP-OES Total Metals'!$B26)</f>
        <v>1.1897620475904822</v>
      </c>
      <c r="X26" s="46">
        <f>IF('Raw ICP-OES Data'!X22&lt;'ICP-OES Total Metals'!X$13,'ICP-OES Total Metals'!X$17,'Raw ICP-OES Data'!X22*50/'ICP-OES Total Metals'!$B26)</f>
        <v>835.28294341131766</v>
      </c>
      <c r="Y26" s="46">
        <f>IF('Raw ICP-OES Data'!Y22&lt;'ICP-OES Total Metals'!Y$13,'ICP-OES Total Metals'!Y$17,'Raw ICP-OES Data'!Y22*50/'ICP-OES Total Metals'!$B26)</f>
        <v>9.9880023995200968</v>
      </c>
      <c r="Z26" s="46" t="str">
        <f>IF('Raw ICP-OES Data'!Z22&lt;'ICP-OES Total Metals'!Z$13,'ICP-OES Total Metals'!Z$17,'Raw ICP-OES Data'!Z22*50/'ICP-OES Total Metals'!$B26)</f>
        <v>&lt;4.495</v>
      </c>
      <c r="AA26" s="46">
        <f>IF('Raw ICP-OES Data'!AA22&lt;'ICP-OES Total Metals'!AA$13,'ICP-OES Total Metals'!AA$17,'Raw ICP-OES Data'!AA22*50/'ICP-OES Total Metals'!$B26)</f>
        <v>254.31913617276544</v>
      </c>
      <c r="AB26" s="46">
        <f>IF('Raw ICP-OES Data'!AB22&lt;'ICP-OES Total Metals'!AB$13,'ICP-OES Total Metals'!AB$17,'Raw ICP-OES Data'!AB22*50/'ICP-OES Total Metals'!$B26)</f>
        <v>15.176964607078585</v>
      </c>
      <c r="AC26" s="46">
        <f>IF('Raw ICP-OES Data'!AC22&lt;'ICP-OES Total Metals'!AC$13,'ICP-OES Total Metals'!AC$17,'Raw ICP-OES Data'!AC22*50/'ICP-OES Total Metals'!$B26)</f>
        <v>45.770845830833835</v>
      </c>
      <c r="AD26" s="46">
        <f>IF('Raw ICP-OES Data'!AD22&lt;'ICP-OES Total Metals'!AD$13,'ICP-OES Total Metals'!AD$17,'Raw ICP-OES Data'!AD22*50/'ICP-OES Total Metals'!$B26)</f>
        <v>16.056788642271545</v>
      </c>
      <c r="AE26" s="46">
        <f>IF('Raw ICP-OES Data'!AE22&lt;'ICP-OES Total Metals'!AE$13,'ICP-OES Total Metals'!AE$17,'Raw ICP-OES Data'!AE22*50/'ICP-OES Total Metals'!$B26)</f>
        <v>10.977804439112177</v>
      </c>
    </row>
    <row r="27" spans="1:31" s="22" customFormat="1" ht="15.75" thickBot="1" x14ac:dyDescent="0.25">
      <c r="A27" s="51">
        <f>'Raw ICP-OES Data'!A23</f>
        <v>0</v>
      </c>
      <c r="B27" s="145">
        <v>0.49930000000000002</v>
      </c>
      <c r="C27" s="46" t="str">
        <f>IF('Raw ICP-OES Data'!C23&lt;'ICP-OES Total Metals'!C$13,'ICP-OES Total Metals'!C$17,'Raw ICP-OES Data'!C23*50/'ICP-OES Total Metals'!$B27)</f>
        <v>&lt;3.326</v>
      </c>
      <c r="D27" s="46" t="str">
        <f>IF('Raw ICP-OES Data'!D23&lt;'ICP-OES Total Metals'!D$13,'ICP-OES Total Metals'!D$17,'Raw ICP-OES Data'!D23*50/'ICP-OES Total Metals'!$B27)</f>
        <v>&lt;5.82</v>
      </c>
      <c r="E27" s="46" t="str">
        <f>IF('Raw ICP-OES Data'!E23&lt;'ICP-OES Total Metals'!E$13,'ICP-OES Total Metals'!E$17,'Raw ICP-OES Data'!E23*50/'ICP-OES Total Metals'!$B27)</f>
        <v>&lt;3.97</v>
      </c>
      <c r="F27" s="46" t="str">
        <f>IF('Raw ICP-OES Data'!F23&lt;'ICP-OES Total Metals'!F$13,'ICP-OES Total Metals'!F$17,'Raw ICP-OES Data'!F23*50/'ICP-OES Total Metals'!$B27)</f>
        <v>&lt;14.698</v>
      </c>
      <c r="G27" s="46" t="str">
        <f>IF('Raw ICP-OES Data'!G23&lt;'ICP-OES Total Metals'!G$13,'ICP-OES Total Metals'!G$17,'Raw ICP-OES Data'!G23*50/'ICP-OES Total Metals'!$B27)</f>
        <v>&lt;0.217</v>
      </c>
      <c r="H27" s="46" t="str">
        <f>IF('Raw ICP-OES Data'!H23&lt;'ICP-OES Total Metals'!H$13,'ICP-OES Total Metals'!H$17,'Raw ICP-OES Data'!H23*50/'ICP-OES Total Metals'!$B27)</f>
        <v>&lt;0.2</v>
      </c>
      <c r="I27" s="46" t="str">
        <f>IF('Raw ICP-OES Data'!I23&lt;'ICP-OES Total Metals'!I$13,'ICP-OES Total Metals'!I$17,'Raw ICP-OES Data'!I23*50/'ICP-OES Total Metals'!$B27)</f>
        <v>&lt;4.358</v>
      </c>
      <c r="J27" s="46" t="str">
        <f>IF('Raw ICP-OES Data'!J23&lt;'ICP-OES Total Metals'!J$13,'ICP-OES Total Metals'!J$17,'Raw ICP-OES Data'!J23*50/'ICP-OES Total Metals'!$B27)</f>
        <v>&lt;0.3</v>
      </c>
      <c r="K27" s="46" t="str">
        <f>IF('Raw ICP-OES Data'!K23&lt;'ICP-OES Total Metals'!K$13,'ICP-OES Total Metals'!K$17,'Raw ICP-OES Data'!K23*50/'ICP-OES Total Metals'!$B27)</f>
        <v>&lt;0.527</v>
      </c>
      <c r="L27" s="46" t="str">
        <f>IF('Raw ICP-OES Data'!L23&lt;'ICP-OES Total Metals'!L$13,'ICP-OES Total Metals'!L$17,'Raw ICP-OES Data'!L23*50/'ICP-OES Total Metals'!$B27)</f>
        <v>&lt;0.43</v>
      </c>
      <c r="M27" s="46" t="str">
        <f>IF('Raw ICP-OES Data'!M23&lt;'ICP-OES Total Metals'!M$13,'ICP-OES Total Metals'!M$17,'Raw ICP-OES Data'!M23*50/'ICP-OES Total Metals'!$B27)</f>
        <v>&lt;1.129</v>
      </c>
      <c r="N27" s="46" t="str">
        <f>IF('Raw ICP-OES Data'!N23&lt;'ICP-OES Total Metals'!N$13,'ICP-OES Total Metals'!N$17,'Raw ICP-OES Data'!N23*50/'ICP-OES Total Metals'!$B27)</f>
        <v>&lt;1.81</v>
      </c>
      <c r="O27" s="46" t="str">
        <f>IF('Raw ICP-OES Data'!O23&lt;'ICP-OES Total Metals'!O$13,'ICP-OES Total Metals'!O$17,'Raw ICP-OES Data'!O23*50/'ICP-OES Total Metals'!$B27)</f>
        <v>&lt;62.4</v>
      </c>
      <c r="P27" s="46" t="str">
        <f>IF('Raw ICP-OES Data'!P23&lt;'ICP-OES Total Metals'!P$13,'ICP-OES Total Metals'!P$17,'Raw ICP-OES Data'!P23*50/'ICP-OES Total Metals'!$B27)</f>
        <v>&lt;1.866</v>
      </c>
      <c r="Q27" s="46" t="str">
        <f>IF('Raw ICP-OES Data'!Q23&lt;'ICP-OES Total Metals'!Q$13,'ICP-OES Total Metals'!Q$17,'Raw ICP-OES Data'!Q23*50/'ICP-OES Total Metals'!$B27)</f>
        <v>&lt;4.1</v>
      </c>
      <c r="R27" s="46" t="str">
        <f>IF('Raw ICP-OES Data'!R23&lt;'ICP-OES Total Metals'!R$13,'ICP-OES Total Metals'!R$17,'Raw ICP-OES Data'!R23*50/'ICP-OES Total Metals'!$B27)</f>
        <v>&lt;0.54</v>
      </c>
      <c r="S27" s="46" t="str">
        <f>IF('Raw ICP-OES Data'!S23&lt;'ICP-OES Total Metals'!S$13,'ICP-OES Total Metals'!S$17,'Raw ICP-OES Data'!S23*50/'ICP-OES Total Metals'!$B27)</f>
        <v>&lt;0.586</v>
      </c>
      <c r="T27" s="46" t="str">
        <f>IF('Raw ICP-OES Data'!T23&lt;'ICP-OES Total Metals'!T$13,'ICP-OES Total Metals'!T$17,'Raw ICP-OES Data'!T23*50/'ICP-OES Total Metals'!$B27)</f>
        <v>&lt;2.1</v>
      </c>
      <c r="U27" s="46" t="str">
        <f>IF('Raw ICP-OES Data'!U23&lt;'ICP-OES Total Metals'!U$13,'ICP-OES Total Metals'!U$17,'Raw ICP-OES Data'!U23*50/'ICP-OES Total Metals'!$B27)</f>
        <v>&lt;1.188</v>
      </c>
      <c r="V27" s="46" t="str">
        <f>IF('Raw ICP-OES Data'!V23&lt;'ICP-OES Total Metals'!V$13,'ICP-OES Total Metals'!V$17,'Raw ICP-OES Data'!V23*50/'ICP-OES Total Metals'!$B27)</f>
        <v>&lt;5.37</v>
      </c>
      <c r="W27" s="46" t="str">
        <f>IF('Raw ICP-OES Data'!W23&lt;'ICP-OES Total Metals'!W$13,'ICP-OES Total Metals'!W$17,'Raw ICP-OES Data'!W23*50/'ICP-OES Total Metals'!$B27)</f>
        <v>&lt;2.85</v>
      </c>
      <c r="X27" s="46" t="str">
        <f>IF('Raw ICP-OES Data'!X23&lt;'ICP-OES Total Metals'!X$13,'ICP-OES Total Metals'!X$17,'Raw ICP-OES Data'!X23*50/'ICP-OES Total Metals'!$B27)</f>
        <v>&lt;5.2</v>
      </c>
      <c r="Y27" s="46" t="str">
        <f>IF('Raw ICP-OES Data'!Y23&lt;'ICP-OES Total Metals'!Y$13,'ICP-OES Total Metals'!Y$17,'Raw ICP-OES Data'!Y23*50/'ICP-OES Total Metals'!$B27)</f>
        <v>&lt;5.73</v>
      </c>
      <c r="Z27" s="46" t="str">
        <f>IF('Raw ICP-OES Data'!Z23&lt;'ICP-OES Total Metals'!Z$13,'ICP-OES Total Metals'!Z$17,'Raw ICP-OES Data'!Z23*50/'ICP-OES Total Metals'!$B27)</f>
        <v>&lt;4.495</v>
      </c>
      <c r="AA27" s="46" t="str">
        <f>IF('Raw ICP-OES Data'!AA23&lt;'ICP-OES Total Metals'!AA$13,'ICP-OES Total Metals'!AA$17,'Raw ICP-OES Data'!AA23*50/'ICP-OES Total Metals'!$B27)</f>
        <v>&lt;3.4</v>
      </c>
      <c r="AB27" s="46" t="str">
        <f>IF('Raw ICP-OES Data'!AB23&lt;'ICP-OES Total Metals'!AB$13,'ICP-OES Total Metals'!AB$17,'Raw ICP-OES Data'!AB23*50/'ICP-OES Total Metals'!$B27)</f>
        <v>&lt;0.153</v>
      </c>
      <c r="AC27" s="46" t="str">
        <f>IF('Raw ICP-OES Data'!AC23&lt;'ICP-OES Total Metals'!AC$13,'ICP-OES Total Metals'!AC$17,'Raw ICP-OES Data'!AC23*50/'ICP-OES Total Metals'!$B27)</f>
        <v>&lt;0.217</v>
      </c>
      <c r="AD27" s="46" t="str">
        <f>IF('Raw ICP-OES Data'!AD23&lt;'ICP-OES Total Metals'!AD$13,'ICP-OES Total Metals'!AD$17,'Raw ICP-OES Data'!AD23*50/'ICP-OES Total Metals'!$B27)</f>
        <v>&lt;1.457</v>
      </c>
      <c r="AE27" s="46" t="str">
        <f>IF('Raw ICP-OES Data'!AE23&lt;'ICP-OES Total Metals'!AE$13,'ICP-OES Total Metals'!AE$17,'Raw ICP-OES Data'!AE23*50/'ICP-OES Total Metals'!$B27)</f>
        <v>&lt;0.307</v>
      </c>
    </row>
    <row r="28" spans="1:31" s="22" customFormat="1" ht="15.75" thickBot="1" x14ac:dyDescent="0.25">
      <c r="A28" s="51">
        <f>'Raw ICP-OES Data'!A24</f>
        <v>0</v>
      </c>
      <c r="B28" s="145">
        <v>0.499</v>
      </c>
      <c r="C28" s="46" t="str">
        <f>IF('Raw ICP-OES Data'!C24&lt;'ICP-OES Total Metals'!C$13,'ICP-OES Total Metals'!C$17,'Raw ICP-OES Data'!C24*50/'ICP-OES Total Metals'!$B28)</f>
        <v>&lt;3.326</v>
      </c>
      <c r="D28" s="46" t="str">
        <f>IF('Raw ICP-OES Data'!D24&lt;'ICP-OES Total Metals'!D$13,'ICP-OES Total Metals'!D$17,'Raw ICP-OES Data'!D24*50/'ICP-OES Total Metals'!$B28)</f>
        <v>&lt;5.82</v>
      </c>
      <c r="E28" s="46" t="str">
        <f>IF('Raw ICP-OES Data'!E24&lt;'ICP-OES Total Metals'!E$13,'ICP-OES Total Metals'!E$17,'Raw ICP-OES Data'!E24*50/'ICP-OES Total Metals'!$B28)</f>
        <v>&lt;3.97</v>
      </c>
      <c r="F28" s="46" t="str">
        <f>IF('Raw ICP-OES Data'!F24&lt;'ICP-OES Total Metals'!F$13,'ICP-OES Total Metals'!F$17,'Raw ICP-OES Data'!F24*50/'ICP-OES Total Metals'!$B28)</f>
        <v>&lt;14.698</v>
      </c>
      <c r="G28" s="46" t="str">
        <f>IF('Raw ICP-OES Data'!G24&lt;'ICP-OES Total Metals'!G$13,'ICP-OES Total Metals'!G$17,'Raw ICP-OES Data'!G24*50/'ICP-OES Total Metals'!$B28)</f>
        <v>&lt;0.217</v>
      </c>
      <c r="H28" s="46" t="str">
        <f>IF('Raw ICP-OES Data'!H24&lt;'ICP-OES Total Metals'!H$13,'ICP-OES Total Metals'!H$17,'Raw ICP-OES Data'!H24*50/'ICP-OES Total Metals'!$B28)</f>
        <v>&lt;0.2</v>
      </c>
      <c r="I28" s="46" t="str">
        <f>IF('Raw ICP-OES Data'!I24&lt;'ICP-OES Total Metals'!I$13,'ICP-OES Total Metals'!I$17,'Raw ICP-OES Data'!I24*50/'ICP-OES Total Metals'!$B28)</f>
        <v>&lt;4.358</v>
      </c>
      <c r="J28" s="46" t="str">
        <f>IF('Raw ICP-OES Data'!J24&lt;'ICP-OES Total Metals'!J$13,'ICP-OES Total Metals'!J$17,'Raw ICP-OES Data'!J24*50/'ICP-OES Total Metals'!$B28)</f>
        <v>&lt;0.3</v>
      </c>
      <c r="K28" s="46" t="str">
        <f>IF('Raw ICP-OES Data'!K24&lt;'ICP-OES Total Metals'!K$13,'ICP-OES Total Metals'!K$17,'Raw ICP-OES Data'!K24*50/'ICP-OES Total Metals'!$B28)</f>
        <v>&lt;0.527</v>
      </c>
      <c r="L28" s="46" t="str">
        <f>IF('Raw ICP-OES Data'!L24&lt;'ICP-OES Total Metals'!L$13,'ICP-OES Total Metals'!L$17,'Raw ICP-OES Data'!L24*50/'ICP-OES Total Metals'!$B28)</f>
        <v>&lt;0.43</v>
      </c>
      <c r="M28" s="46" t="str">
        <f>IF('Raw ICP-OES Data'!M24&lt;'ICP-OES Total Metals'!M$13,'ICP-OES Total Metals'!M$17,'Raw ICP-OES Data'!M24*50/'ICP-OES Total Metals'!$B28)</f>
        <v>&lt;1.129</v>
      </c>
      <c r="N28" s="46" t="str">
        <f>IF('Raw ICP-OES Data'!N24&lt;'ICP-OES Total Metals'!N$13,'ICP-OES Total Metals'!N$17,'Raw ICP-OES Data'!N24*50/'ICP-OES Total Metals'!$B28)</f>
        <v>&lt;1.81</v>
      </c>
      <c r="O28" s="46" t="str">
        <f>IF('Raw ICP-OES Data'!O24&lt;'ICP-OES Total Metals'!O$13,'ICP-OES Total Metals'!O$17,'Raw ICP-OES Data'!O24*50/'ICP-OES Total Metals'!$B28)</f>
        <v>&lt;62.4</v>
      </c>
      <c r="P28" s="46" t="str">
        <f>IF('Raw ICP-OES Data'!P24&lt;'ICP-OES Total Metals'!P$13,'ICP-OES Total Metals'!P$17,'Raw ICP-OES Data'!P24*50/'ICP-OES Total Metals'!$B28)</f>
        <v>&lt;1.866</v>
      </c>
      <c r="Q28" s="46" t="str">
        <f>IF('Raw ICP-OES Data'!Q24&lt;'ICP-OES Total Metals'!Q$13,'ICP-OES Total Metals'!Q$17,'Raw ICP-OES Data'!Q24*50/'ICP-OES Total Metals'!$B28)</f>
        <v>&lt;4.1</v>
      </c>
      <c r="R28" s="46" t="str">
        <f>IF('Raw ICP-OES Data'!R24&lt;'ICP-OES Total Metals'!R$13,'ICP-OES Total Metals'!R$17,'Raw ICP-OES Data'!R24*50/'ICP-OES Total Metals'!$B28)</f>
        <v>&lt;0.54</v>
      </c>
      <c r="S28" s="46" t="str">
        <f>IF('Raw ICP-OES Data'!S24&lt;'ICP-OES Total Metals'!S$13,'ICP-OES Total Metals'!S$17,'Raw ICP-OES Data'!S24*50/'ICP-OES Total Metals'!$B28)</f>
        <v>&lt;0.586</v>
      </c>
      <c r="T28" s="46" t="str">
        <f>IF('Raw ICP-OES Data'!T24&lt;'ICP-OES Total Metals'!T$13,'ICP-OES Total Metals'!T$17,'Raw ICP-OES Data'!T24*50/'ICP-OES Total Metals'!$B28)</f>
        <v>&lt;2.1</v>
      </c>
      <c r="U28" s="46" t="str">
        <f>IF('Raw ICP-OES Data'!U24&lt;'ICP-OES Total Metals'!U$13,'ICP-OES Total Metals'!U$17,'Raw ICP-OES Data'!U24*50/'ICP-OES Total Metals'!$B28)</f>
        <v>&lt;1.188</v>
      </c>
      <c r="V28" s="46" t="str">
        <f>IF('Raw ICP-OES Data'!V24&lt;'ICP-OES Total Metals'!V$13,'ICP-OES Total Metals'!V$17,'Raw ICP-OES Data'!V24*50/'ICP-OES Total Metals'!$B28)</f>
        <v>&lt;5.37</v>
      </c>
      <c r="W28" s="46" t="str">
        <f>IF('Raw ICP-OES Data'!W24&lt;'ICP-OES Total Metals'!W$13,'ICP-OES Total Metals'!W$17,'Raw ICP-OES Data'!W24*50/'ICP-OES Total Metals'!$B28)</f>
        <v>&lt;2.85</v>
      </c>
      <c r="X28" s="46" t="str">
        <f>IF('Raw ICP-OES Data'!X24&lt;'ICP-OES Total Metals'!X$13,'ICP-OES Total Metals'!X$17,'Raw ICP-OES Data'!X24*50/'ICP-OES Total Metals'!$B28)</f>
        <v>&lt;5.2</v>
      </c>
      <c r="Y28" s="46" t="str">
        <f>IF('Raw ICP-OES Data'!Y24&lt;'ICP-OES Total Metals'!Y$13,'ICP-OES Total Metals'!Y$17,'Raw ICP-OES Data'!Y24*50/'ICP-OES Total Metals'!$B28)</f>
        <v>&lt;5.73</v>
      </c>
      <c r="Z28" s="46" t="str">
        <f>IF('Raw ICP-OES Data'!Z24&lt;'ICP-OES Total Metals'!Z$13,'ICP-OES Total Metals'!Z$17,'Raw ICP-OES Data'!Z24*50/'ICP-OES Total Metals'!$B28)</f>
        <v>&lt;4.495</v>
      </c>
      <c r="AA28" s="46" t="str">
        <f>IF('Raw ICP-OES Data'!AA24&lt;'ICP-OES Total Metals'!AA$13,'ICP-OES Total Metals'!AA$17,'Raw ICP-OES Data'!AA24*50/'ICP-OES Total Metals'!$B28)</f>
        <v>&lt;3.4</v>
      </c>
      <c r="AB28" s="46" t="str">
        <f>IF('Raw ICP-OES Data'!AB24&lt;'ICP-OES Total Metals'!AB$13,'ICP-OES Total Metals'!AB$17,'Raw ICP-OES Data'!AB24*50/'ICP-OES Total Metals'!$B28)</f>
        <v>&lt;0.153</v>
      </c>
      <c r="AC28" s="46" t="str">
        <f>IF('Raw ICP-OES Data'!AC24&lt;'ICP-OES Total Metals'!AC$13,'ICP-OES Total Metals'!AC$17,'Raw ICP-OES Data'!AC24*50/'ICP-OES Total Metals'!$B28)</f>
        <v>&lt;0.217</v>
      </c>
      <c r="AD28" s="46" t="str">
        <f>IF('Raw ICP-OES Data'!AD24&lt;'ICP-OES Total Metals'!AD$13,'ICP-OES Total Metals'!AD$17,'Raw ICP-OES Data'!AD24*50/'ICP-OES Total Metals'!$B28)</f>
        <v>&lt;1.457</v>
      </c>
      <c r="AE28" s="46" t="str">
        <f>IF('Raw ICP-OES Data'!AE24&lt;'ICP-OES Total Metals'!AE$13,'ICP-OES Total Metals'!AE$17,'Raw ICP-OES Data'!AE24*50/'ICP-OES Total Metals'!$B28)</f>
        <v>&lt;0.307</v>
      </c>
    </row>
    <row r="29" spans="1:31" s="22" customFormat="1" ht="15.75" thickBot="1" x14ac:dyDescent="0.25">
      <c r="A29" s="51">
        <f>'Raw ICP-OES Data'!A25</f>
        <v>0</v>
      </c>
      <c r="B29" s="145">
        <v>0.49940000000000001</v>
      </c>
      <c r="C29" s="46" t="str">
        <f>IF('Raw ICP-OES Data'!C25&lt;'ICP-OES Total Metals'!C$13,'ICP-OES Total Metals'!C$17,'Raw ICP-OES Data'!C25*50/'ICP-OES Total Metals'!$B29)</f>
        <v>&lt;3.326</v>
      </c>
      <c r="D29" s="46" t="str">
        <f>IF('Raw ICP-OES Data'!D25&lt;'ICP-OES Total Metals'!D$13,'ICP-OES Total Metals'!D$17,'Raw ICP-OES Data'!D25*50/'ICP-OES Total Metals'!$B29)</f>
        <v>&lt;5.82</v>
      </c>
      <c r="E29" s="46" t="str">
        <f>IF('Raw ICP-OES Data'!E25&lt;'ICP-OES Total Metals'!E$13,'ICP-OES Total Metals'!E$17,'Raw ICP-OES Data'!E25*50/'ICP-OES Total Metals'!$B29)</f>
        <v>&lt;3.97</v>
      </c>
      <c r="F29" s="46" t="str">
        <f>IF('Raw ICP-OES Data'!F25&lt;'ICP-OES Total Metals'!F$13,'ICP-OES Total Metals'!F$17,'Raw ICP-OES Data'!F25*50/'ICP-OES Total Metals'!$B29)</f>
        <v>&lt;14.698</v>
      </c>
      <c r="G29" s="46" t="str">
        <f>IF('Raw ICP-OES Data'!G25&lt;'ICP-OES Total Metals'!G$13,'ICP-OES Total Metals'!G$17,'Raw ICP-OES Data'!G25*50/'ICP-OES Total Metals'!$B29)</f>
        <v>&lt;0.217</v>
      </c>
      <c r="H29" s="46" t="str">
        <f>IF('Raw ICP-OES Data'!H25&lt;'ICP-OES Total Metals'!H$13,'ICP-OES Total Metals'!H$17,'Raw ICP-OES Data'!H25*50/'ICP-OES Total Metals'!$B29)</f>
        <v>&lt;0.2</v>
      </c>
      <c r="I29" s="46" t="str">
        <f>IF('Raw ICP-OES Data'!I25&lt;'ICP-OES Total Metals'!I$13,'ICP-OES Total Metals'!I$17,'Raw ICP-OES Data'!I25*50/'ICP-OES Total Metals'!$B29)</f>
        <v>&lt;4.358</v>
      </c>
      <c r="J29" s="46" t="str">
        <f>IF('Raw ICP-OES Data'!J25&lt;'ICP-OES Total Metals'!J$13,'ICP-OES Total Metals'!J$17,'Raw ICP-OES Data'!J25*50/'ICP-OES Total Metals'!$B29)</f>
        <v>&lt;0.3</v>
      </c>
      <c r="K29" s="46" t="str">
        <f>IF('Raw ICP-OES Data'!K25&lt;'ICP-OES Total Metals'!K$13,'ICP-OES Total Metals'!K$17,'Raw ICP-OES Data'!K25*50/'ICP-OES Total Metals'!$B29)</f>
        <v>&lt;0.527</v>
      </c>
      <c r="L29" s="46" t="str">
        <f>IF('Raw ICP-OES Data'!L25&lt;'ICP-OES Total Metals'!L$13,'ICP-OES Total Metals'!L$17,'Raw ICP-OES Data'!L25*50/'ICP-OES Total Metals'!$B29)</f>
        <v>&lt;0.43</v>
      </c>
      <c r="M29" s="46" t="str">
        <f>IF('Raw ICP-OES Data'!M25&lt;'ICP-OES Total Metals'!M$13,'ICP-OES Total Metals'!M$17,'Raw ICP-OES Data'!M25*50/'ICP-OES Total Metals'!$B29)</f>
        <v>&lt;1.129</v>
      </c>
      <c r="N29" s="46" t="str">
        <f>IF('Raw ICP-OES Data'!N25&lt;'ICP-OES Total Metals'!N$13,'ICP-OES Total Metals'!N$17,'Raw ICP-OES Data'!N25*50/'ICP-OES Total Metals'!$B29)</f>
        <v>&lt;1.81</v>
      </c>
      <c r="O29" s="46" t="str">
        <f>IF('Raw ICP-OES Data'!O25&lt;'ICP-OES Total Metals'!O$13,'ICP-OES Total Metals'!O$17,'Raw ICP-OES Data'!O25*50/'ICP-OES Total Metals'!$B29)</f>
        <v>&lt;62.4</v>
      </c>
      <c r="P29" s="46" t="str">
        <f>IF('Raw ICP-OES Data'!P25&lt;'ICP-OES Total Metals'!P$13,'ICP-OES Total Metals'!P$17,'Raw ICP-OES Data'!P25*50/'ICP-OES Total Metals'!$B29)</f>
        <v>&lt;1.866</v>
      </c>
      <c r="Q29" s="46" t="str">
        <f>IF('Raw ICP-OES Data'!Q25&lt;'ICP-OES Total Metals'!Q$13,'ICP-OES Total Metals'!Q$17,'Raw ICP-OES Data'!Q25*50/'ICP-OES Total Metals'!$B29)</f>
        <v>&lt;4.1</v>
      </c>
      <c r="R29" s="46" t="str">
        <f>IF('Raw ICP-OES Data'!R25&lt;'ICP-OES Total Metals'!R$13,'ICP-OES Total Metals'!R$17,'Raw ICP-OES Data'!R25*50/'ICP-OES Total Metals'!$B29)</f>
        <v>&lt;0.54</v>
      </c>
      <c r="S29" s="46" t="str">
        <f>IF('Raw ICP-OES Data'!S25&lt;'ICP-OES Total Metals'!S$13,'ICP-OES Total Metals'!S$17,'Raw ICP-OES Data'!S25*50/'ICP-OES Total Metals'!$B29)</f>
        <v>&lt;0.586</v>
      </c>
      <c r="T29" s="46" t="str">
        <f>IF('Raw ICP-OES Data'!T25&lt;'ICP-OES Total Metals'!T$13,'ICP-OES Total Metals'!T$17,'Raw ICP-OES Data'!T25*50/'ICP-OES Total Metals'!$B29)</f>
        <v>&lt;2.1</v>
      </c>
      <c r="U29" s="46" t="str">
        <f>IF('Raw ICP-OES Data'!U25&lt;'ICP-OES Total Metals'!U$13,'ICP-OES Total Metals'!U$17,'Raw ICP-OES Data'!U25*50/'ICP-OES Total Metals'!$B29)</f>
        <v>&lt;1.188</v>
      </c>
      <c r="V29" s="46" t="str">
        <f>IF('Raw ICP-OES Data'!V25&lt;'ICP-OES Total Metals'!V$13,'ICP-OES Total Metals'!V$17,'Raw ICP-OES Data'!V25*50/'ICP-OES Total Metals'!$B29)</f>
        <v>&lt;5.37</v>
      </c>
      <c r="W29" s="46" t="str">
        <f>IF('Raw ICP-OES Data'!W25&lt;'ICP-OES Total Metals'!W$13,'ICP-OES Total Metals'!W$17,'Raw ICP-OES Data'!W25*50/'ICP-OES Total Metals'!$B29)</f>
        <v>&lt;2.85</v>
      </c>
      <c r="X29" s="46" t="str">
        <f>IF('Raw ICP-OES Data'!X25&lt;'ICP-OES Total Metals'!X$13,'ICP-OES Total Metals'!X$17,'Raw ICP-OES Data'!X25*50/'ICP-OES Total Metals'!$B29)</f>
        <v>&lt;5.2</v>
      </c>
      <c r="Y29" s="46" t="str">
        <f>IF('Raw ICP-OES Data'!Y25&lt;'ICP-OES Total Metals'!Y$13,'ICP-OES Total Metals'!Y$17,'Raw ICP-OES Data'!Y25*50/'ICP-OES Total Metals'!$B29)</f>
        <v>&lt;5.73</v>
      </c>
      <c r="Z29" s="46" t="str">
        <f>IF('Raw ICP-OES Data'!Z25&lt;'ICP-OES Total Metals'!Z$13,'ICP-OES Total Metals'!Z$17,'Raw ICP-OES Data'!Z25*50/'ICP-OES Total Metals'!$B29)</f>
        <v>&lt;4.495</v>
      </c>
      <c r="AA29" s="46" t="str">
        <f>IF('Raw ICP-OES Data'!AA25&lt;'ICP-OES Total Metals'!AA$13,'ICP-OES Total Metals'!AA$17,'Raw ICP-OES Data'!AA25*50/'ICP-OES Total Metals'!$B29)</f>
        <v>&lt;3.4</v>
      </c>
      <c r="AB29" s="46" t="str">
        <f>IF('Raw ICP-OES Data'!AB25&lt;'ICP-OES Total Metals'!AB$13,'ICP-OES Total Metals'!AB$17,'Raw ICP-OES Data'!AB25*50/'ICP-OES Total Metals'!$B29)</f>
        <v>&lt;0.153</v>
      </c>
      <c r="AC29" s="46" t="str">
        <f>IF('Raw ICP-OES Data'!AC25&lt;'ICP-OES Total Metals'!AC$13,'ICP-OES Total Metals'!AC$17,'Raw ICP-OES Data'!AC25*50/'ICP-OES Total Metals'!$B29)</f>
        <v>&lt;0.217</v>
      </c>
      <c r="AD29" s="46" t="str">
        <f>IF('Raw ICP-OES Data'!AD25&lt;'ICP-OES Total Metals'!AD$13,'ICP-OES Total Metals'!AD$17,'Raw ICP-OES Data'!AD25*50/'ICP-OES Total Metals'!$B29)</f>
        <v>&lt;1.457</v>
      </c>
      <c r="AE29" s="46" t="str">
        <f>IF('Raw ICP-OES Data'!AE25&lt;'ICP-OES Total Metals'!AE$13,'ICP-OES Total Metals'!AE$17,'Raw ICP-OES Data'!AE25*50/'ICP-OES Total Metals'!$B29)</f>
        <v>&lt;0.307</v>
      </c>
    </row>
    <row r="30" spans="1:31" s="22" customFormat="1" ht="15.75" thickBot="1" x14ac:dyDescent="0.25">
      <c r="A30" s="51">
        <f>'Raw ICP-OES Data'!A26</f>
        <v>0</v>
      </c>
      <c r="B30" s="145">
        <v>0.5</v>
      </c>
      <c r="C30" s="46" t="str">
        <f>IF('Raw ICP-OES Data'!C26&lt;'ICP-OES Total Metals'!C$13,'ICP-OES Total Metals'!C$17,'Raw ICP-OES Data'!C26*50/'ICP-OES Total Metals'!$B30)</f>
        <v>&lt;3.326</v>
      </c>
      <c r="D30" s="46" t="str">
        <f>IF('Raw ICP-OES Data'!D26&lt;'ICP-OES Total Metals'!D$13,'ICP-OES Total Metals'!D$17,'Raw ICP-OES Data'!D26*50/'ICP-OES Total Metals'!$B30)</f>
        <v>&lt;5.82</v>
      </c>
      <c r="E30" s="46" t="str">
        <f>IF('Raw ICP-OES Data'!E26&lt;'ICP-OES Total Metals'!E$13,'ICP-OES Total Metals'!E$17,'Raw ICP-OES Data'!E26*50/'ICP-OES Total Metals'!$B30)</f>
        <v>&lt;3.97</v>
      </c>
      <c r="F30" s="46" t="str">
        <f>IF('Raw ICP-OES Data'!F26&lt;'ICP-OES Total Metals'!F$13,'ICP-OES Total Metals'!F$17,'Raw ICP-OES Data'!F26*50/'ICP-OES Total Metals'!$B30)</f>
        <v>&lt;14.698</v>
      </c>
      <c r="G30" s="46" t="str">
        <f>IF('Raw ICP-OES Data'!G26&lt;'ICP-OES Total Metals'!G$13,'ICP-OES Total Metals'!G$17,'Raw ICP-OES Data'!G26*50/'ICP-OES Total Metals'!$B30)</f>
        <v>&lt;0.217</v>
      </c>
      <c r="H30" s="46" t="str">
        <f>IF('Raw ICP-OES Data'!H26&lt;'ICP-OES Total Metals'!H$13,'ICP-OES Total Metals'!H$17,'Raw ICP-OES Data'!H26*50/'ICP-OES Total Metals'!$B30)</f>
        <v>&lt;0.2</v>
      </c>
      <c r="I30" s="46" t="str">
        <f>IF('Raw ICP-OES Data'!I26&lt;'ICP-OES Total Metals'!I$13,'ICP-OES Total Metals'!I$17,'Raw ICP-OES Data'!I26*50/'ICP-OES Total Metals'!$B30)</f>
        <v>&lt;4.358</v>
      </c>
      <c r="J30" s="46" t="str">
        <f>IF('Raw ICP-OES Data'!J26&lt;'ICP-OES Total Metals'!J$13,'ICP-OES Total Metals'!J$17,'Raw ICP-OES Data'!J26*50/'ICP-OES Total Metals'!$B30)</f>
        <v>&lt;0.3</v>
      </c>
      <c r="K30" s="46" t="str">
        <f>IF('Raw ICP-OES Data'!K26&lt;'ICP-OES Total Metals'!K$13,'ICP-OES Total Metals'!K$17,'Raw ICP-OES Data'!K26*50/'ICP-OES Total Metals'!$B30)</f>
        <v>&lt;0.527</v>
      </c>
      <c r="L30" s="46" t="str">
        <f>IF('Raw ICP-OES Data'!L26&lt;'ICP-OES Total Metals'!L$13,'ICP-OES Total Metals'!L$17,'Raw ICP-OES Data'!L26*50/'ICP-OES Total Metals'!$B30)</f>
        <v>&lt;0.43</v>
      </c>
      <c r="M30" s="46" t="str">
        <f>IF('Raw ICP-OES Data'!M26&lt;'ICP-OES Total Metals'!M$13,'ICP-OES Total Metals'!M$17,'Raw ICP-OES Data'!M26*50/'ICP-OES Total Metals'!$B30)</f>
        <v>&lt;1.129</v>
      </c>
      <c r="N30" s="46" t="str">
        <f>IF('Raw ICP-OES Data'!N26&lt;'ICP-OES Total Metals'!N$13,'ICP-OES Total Metals'!N$17,'Raw ICP-OES Data'!N26*50/'ICP-OES Total Metals'!$B30)</f>
        <v>&lt;1.81</v>
      </c>
      <c r="O30" s="46" t="str">
        <f>IF('Raw ICP-OES Data'!O26&lt;'ICP-OES Total Metals'!O$13,'ICP-OES Total Metals'!O$17,'Raw ICP-OES Data'!O26*50/'ICP-OES Total Metals'!$B30)</f>
        <v>&lt;62.4</v>
      </c>
      <c r="P30" s="46" t="str">
        <f>IF('Raw ICP-OES Data'!P26&lt;'ICP-OES Total Metals'!P$13,'ICP-OES Total Metals'!P$17,'Raw ICP-OES Data'!P26*50/'ICP-OES Total Metals'!$B30)</f>
        <v>&lt;1.866</v>
      </c>
      <c r="Q30" s="46" t="str">
        <f>IF('Raw ICP-OES Data'!Q26&lt;'ICP-OES Total Metals'!Q$13,'ICP-OES Total Metals'!Q$17,'Raw ICP-OES Data'!Q26*50/'ICP-OES Total Metals'!$B30)</f>
        <v>&lt;4.1</v>
      </c>
      <c r="R30" s="46" t="str">
        <f>IF('Raw ICP-OES Data'!R26&lt;'ICP-OES Total Metals'!R$13,'ICP-OES Total Metals'!R$17,'Raw ICP-OES Data'!R26*50/'ICP-OES Total Metals'!$B30)</f>
        <v>&lt;0.54</v>
      </c>
      <c r="S30" s="46" t="str">
        <f>IF('Raw ICP-OES Data'!S26&lt;'ICP-OES Total Metals'!S$13,'ICP-OES Total Metals'!S$17,'Raw ICP-OES Data'!S26*50/'ICP-OES Total Metals'!$B30)</f>
        <v>&lt;0.586</v>
      </c>
      <c r="T30" s="46" t="str">
        <f>IF('Raw ICP-OES Data'!T26&lt;'ICP-OES Total Metals'!T$13,'ICP-OES Total Metals'!T$17,'Raw ICP-OES Data'!T26*50/'ICP-OES Total Metals'!$B30)</f>
        <v>&lt;2.1</v>
      </c>
      <c r="U30" s="46" t="str">
        <f>IF('Raw ICP-OES Data'!U26&lt;'ICP-OES Total Metals'!U$13,'ICP-OES Total Metals'!U$17,'Raw ICP-OES Data'!U26*50/'ICP-OES Total Metals'!$B30)</f>
        <v>&lt;1.188</v>
      </c>
      <c r="V30" s="46" t="str">
        <f>IF('Raw ICP-OES Data'!V26&lt;'ICP-OES Total Metals'!V$13,'ICP-OES Total Metals'!V$17,'Raw ICP-OES Data'!V26*50/'ICP-OES Total Metals'!$B30)</f>
        <v>&lt;5.37</v>
      </c>
      <c r="W30" s="46" t="str">
        <f>IF('Raw ICP-OES Data'!W26&lt;'ICP-OES Total Metals'!W$13,'ICP-OES Total Metals'!W$17,'Raw ICP-OES Data'!W26*50/'ICP-OES Total Metals'!$B30)</f>
        <v>&lt;2.85</v>
      </c>
      <c r="X30" s="46" t="str">
        <f>IF('Raw ICP-OES Data'!X26&lt;'ICP-OES Total Metals'!X$13,'ICP-OES Total Metals'!X$17,'Raw ICP-OES Data'!X26*50/'ICP-OES Total Metals'!$B30)</f>
        <v>&lt;5.2</v>
      </c>
      <c r="Y30" s="46" t="str">
        <f>IF('Raw ICP-OES Data'!Y26&lt;'ICP-OES Total Metals'!Y$13,'ICP-OES Total Metals'!Y$17,'Raw ICP-OES Data'!Y26*50/'ICP-OES Total Metals'!$B30)</f>
        <v>&lt;5.73</v>
      </c>
      <c r="Z30" s="46" t="str">
        <f>IF('Raw ICP-OES Data'!Z26&lt;'ICP-OES Total Metals'!Z$13,'ICP-OES Total Metals'!Z$17,'Raw ICP-OES Data'!Z26*50/'ICP-OES Total Metals'!$B30)</f>
        <v>&lt;4.495</v>
      </c>
      <c r="AA30" s="46" t="str">
        <f>IF('Raw ICP-OES Data'!AA26&lt;'ICP-OES Total Metals'!AA$13,'ICP-OES Total Metals'!AA$17,'Raw ICP-OES Data'!AA26*50/'ICP-OES Total Metals'!$B30)</f>
        <v>&lt;3.4</v>
      </c>
      <c r="AB30" s="46" t="str">
        <f>IF('Raw ICP-OES Data'!AB26&lt;'ICP-OES Total Metals'!AB$13,'ICP-OES Total Metals'!AB$17,'Raw ICP-OES Data'!AB26*50/'ICP-OES Total Metals'!$B30)</f>
        <v>&lt;0.153</v>
      </c>
      <c r="AC30" s="46" t="str">
        <f>IF('Raw ICP-OES Data'!AC26&lt;'ICP-OES Total Metals'!AC$13,'ICP-OES Total Metals'!AC$17,'Raw ICP-OES Data'!AC26*50/'ICP-OES Total Metals'!$B30)</f>
        <v>&lt;0.217</v>
      </c>
      <c r="AD30" s="46" t="str">
        <f>IF('Raw ICP-OES Data'!AD26&lt;'ICP-OES Total Metals'!AD$13,'ICP-OES Total Metals'!AD$17,'Raw ICP-OES Data'!AD26*50/'ICP-OES Total Metals'!$B30)</f>
        <v>&lt;1.457</v>
      </c>
      <c r="AE30" s="46" t="str">
        <f>IF('Raw ICP-OES Data'!AE26&lt;'ICP-OES Total Metals'!AE$13,'ICP-OES Total Metals'!AE$17,'Raw ICP-OES Data'!AE26*50/'ICP-OES Total Metals'!$B30)</f>
        <v>&lt;0.307</v>
      </c>
    </row>
    <row r="31" spans="1:31" s="22" customFormat="1" ht="15.75" thickBot="1" x14ac:dyDescent="0.25">
      <c r="A31" s="51">
        <f>'Raw ICP-OES Data'!A27</f>
        <v>0</v>
      </c>
      <c r="B31" s="145">
        <v>0.50039999999999996</v>
      </c>
      <c r="C31" s="46" t="str">
        <f>IF('Raw ICP-OES Data'!C27&lt;'ICP-OES Total Metals'!C$13,'ICP-OES Total Metals'!C$17,'Raw ICP-OES Data'!C27*50/'ICP-OES Total Metals'!$B31)</f>
        <v>&lt;3.326</v>
      </c>
      <c r="D31" s="46" t="str">
        <f>IF('Raw ICP-OES Data'!D27&lt;'ICP-OES Total Metals'!D$13,'ICP-OES Total Metals'!D$17,'Raw ICP-OES Data'!D27*50/'ICP-OES Total Metals'!$B31)</f>
        <v>&lt;5.82</v>
      </c>
      <c r="E31" s="46" t="str">
        <f>IF('Raw ICP-OES Data'!E27&lt;'ICP-OES Total Metals'!E$13,'ICP-OES Total Metals'!E$17,'Raw ICP-OES Data'!E27*50/'ICP-OES Total Metals'!$B31)</f>
        <v>&lt;3.97</v>
      </c>
      <c r="F31" s="46" t="str">
        <f>IF('Raw ICP-OES Data'!F27&lt;'ICP-OES Total Metals'!F$13,'ICP-OES Total Metals'!F$17,'Raw ICP-OES Data'!F27*50/'ICP-OES Total Metals'!$B31)</f>
        <v>&lt;14.698</v>
      </c>
      <c r="G31" s="46" t="str">
        <f>IF('Raw ICP-OES Data'!G27&lt;'ICP-OES Total Metals'!G$13,'ICP-OES Total Metals'!G$17,'Raw ICP-OES Data'!G27*50/'ICP-OES Total Metals'!$B31)</f>
        <v>&lt;0.217</v>
      </c>
      <c r="H31" s="46" t="str">
        <f>IF('Raw ICP-OES Data'!H27&lt;'ICP-OES Total Metals'!H$13,'ICP-OES Total Metals'!H$17,'Raw ICP-OES Data'!H27*50/'ICP-OES Total Metals'!$B31)</f>
        <v>&lt;0.2</v>
      </c>
      <c r="I31" s="46" t="str">
        <f>IF('Raw ICP-OES Data'!I27&lt;'ICP-OES Total Metals'!I$13,'ICP-OES Total Metals'!I$17,'Raw ICP-OES Data'!I27*50/'ICP-OES Total Metals'!$B31)</f>
        <v>&lt;4.358</v>
      </c>
      <c r="J31" s="46" t="str">
        <f>IF('Raw ICP-OES Data'!J27&lt;'ICP-OES Total Metals'!J$13,'ICP-OES Total Metals'!J$17,'Raw ICP-OES Data'!J27*50/'ICP-OES Total Metals'!$B31)</f>
        <v>&lt;0.3</v>
      </c>
      <c r="K31" s="46" t="str">
        <f>IF('Raw ICP-OES Data'!K27&lt;'ICP-OES Total Metals'!K$13,'ICP-OES Total Metals'!K$17,'Raw ICP-OES Data'!K27*50/'ICP-OES Total Metals'!$B31)</f>
        <v>&lt;0.527</v>
      </c>
      <c r="L31" s="46" t="str">
        <f>IF('Raw ICP-OES Data'!L27&lt;'ICP-OES Total Metals'!L$13,'ICP-OES Total Metals'!L$17,'Raw ICP-OES Data'!L27*50/'ICP-OES Total Metals'!$B31)</f>
        <v>&lt;0.43</v>
      </c>
      <c r="M31" s="46" t="str">
        <f>IF('Raw ICP-OES Data'!M27&lt;'ICP-OES Total Metals'!M$13,'ICP-OES Total Metals'!M$17,'Raw ICP-OES Data'!M27*50/'ICP-OES Total Metals'!$B31)</f>
        <v>&lt;1.129</v>
      </c>
      <c r="N31" s="46" t="str">
        <f>IF('Raw ICP-OES Data'!N27&lt;'ICP-OES Total Metals'!N$13,'ICP-OES Total Metals'!N$17,'Raw ICP-OES Data'!N27*50/'ICP-OES Total Metals'!$B31)</f>
        <v>&lt;1.81</v>
      </c>
      <c r="O31" s="46" t="str">
        <f>IF('Raw ICP-OES Data'!O27&lt;'ICP-OES Total Metals'!O$13,'ICP-OES Total Metals'!O$17,'Raw ICP-OES Data'!O27*50/'ICP-OES Total Metals'!$B31)</f>
        <v>&lt;62.4</v>
      </c>
      <c r="P31" s="46" t="str">
        <f>IF('Raw ICP-OES Data'!P27&lt;'ICP-OES Total Metals'!P$13,'ICP-OES Total Metals'!P$17,'Raw ICP-OES Data'!P27*50/'ICP-OES Total Metals'!$B31)</f>
        <v>&lt;1.866</v>
      </c>
      <c r="Q31" s="46" t="str">
        <f>IF('Raw ICP-OES Data'!Q27&lt;'ICP-OES Total Metals'!Q$13,'ICP-OES Total Metals'!Q$17,'Raw ICP-OES Data'!Q27*50/'ICP-OES Total Metals'!$B31)</f>
        <v>&lt;4.1</v>
      </c>
      <c r="R31" s="46" t="str">
        <f>IF('Raw ICP-OES Data'!R27&lt;'ICP-OES Total Metals'!R$13,'ICP-OES Total Metals'!R$17,'Raw ICP-OES Data'!R27*50/'ICP-OES Total Metals'!$B31)</f>
        <v>&lt;0.54</v>
      </c>
      <c r="S31" s="46" t="str">
        <f>IF('Raw ICP-OES Data'!S27&lt;'ICP-OES Total Metals'!S$13,'ICP-OES Total Metals'!S$17,'Raw ICP-OES Data'!S27*50/'ICP-OES Total Metals'!$B31)</f>
        <v>&lt;0.586</v>
      </c>
      <c r="T31" s="46" t="str">
        <f>IF('Raw ICP-OES Data'!T27&lt;'ICP-OES Total Metals'!T$13,'ICP-OES Total Metals'!T$17,'Raw ICP-OES Data'!T27*50/'ICP-OES Total Metals'!$B31)</f>
        <v>&lt;2.1</v>
      </c>
      <c r="U31" s="46" t="str">
        <f>IF('Raw ICP-OES Data'!U27&lt;'ICP-OES Total Metals'!U$13,'ICP-OES Total Metals'!U$17,'Raw ICP-OES Data'!U27*50/'ICP-OES Total Metals'!$B31)</f>
        <v>&lt;1.188</v>
      </c>
      <c r="V31" s="46" t="str">
        <f>IF('Raw ICP-OES Data'!V27&lt;'ICP-OES Total Metals'!V$13,'ICP-OES Total Metals'!V$17,'Raw ICP-OES Data'!V27*50/'ICP-OES Total Metals'!$B31)</f>
        <v>&lt;5.37</v>
      </c>
      <c r="W31" s="46" t="str">
        <f>IF('Raw ICP-OES Data'!W27&lt;'ICP-OES Total Metals'!W$13,'ICP-OES Total Metals'!W$17,'Raw ICP-OES Data'!W27*50/'ICP-OES Total Metals'!$B31)</f>
        <v>&lt;2.85</v>
      </c>
      <c r="X31" s="46" t="str">
        <f>IF('Raw ICP-OES Data'!X27&lt;'ICP-OES Total Metals'!X$13,'ICP-OES Total Metals'!X$17,'Raw ICP-OES Data'!X27*50/'ICP-OES Total Metals'!$B31)</f>
        <v>&lt;5.2</v>
      </c>
      <c r="Y31" s="46" t="str">
        <f>IF('Raw ICP-OES Data'!Y27&lt;'ICP-OES Total Metals'!Y$13,'ICP-OES Total Metals'!Y$17,'Raw ICP-OES Data'!Y27*50/'ICP-OES Total Metals'!$B31)</f>
        <v>&lt;5.73</v>
      </c>
      <c r="Z31" s="46" t="str">
        <f>IF('Raw ICP-OES Data'!Z27&lt;'ICP-OES Total Metals'!Z$13,'ICP-OES Total Metals'!Z$17,'Raw ICP-OES Data'!Z27*50/'ICP-OES Total Metals'!$B31)</f>
        <v>&lt;4.495</v>
      </c>
      <c r="AA31" s="46" t="str">
        <f>IF('Raw ICP-OES Data'!AA27&lt;'ICP-OES Total Metals'!AA$13,'ICP-OES Total Metals'!AA$17,'Raw ICP-OES Data'!AA27*50/'ICP-OES Total Metals'!$B31)</f>
        <v>&lt;3.4</v>
      </c>
      <c r="AB31" s="46" t="str">
        <f>IF('Raw ICP-OES Data'!AB27&lt;'ICP-OES Total Metals'!AB$13,'ICP-OES Total Metals'!AB$17,'Raw ICP-OES Data'!AB27*50/'ICP-OES Total Metals'!$B31)</f>
        <v>&lt;0.153</v>
      </c>
      <c r="AC31" s="46" t="str">
        <f>IF('Raw ICP-OES Data'!AC27&lt;'ICP-OES Total Metals'!AC$13,'ICP-OES Total Metals'!AC$17,'Raw ICP-OES Data'!AC27*50/'ICP-OES Total Metals'!$B31)</f>
        <v>&lt;0.217</v>
      </c>
      <c r="AD31" s="46" t="str">
        <f>IF('Raw ICP-OES Data'!AD27&lt;'ICP-OES Total Metals'!AD$13,'ICP-OES Total Metals'!AD$17,'Raw ICP-OES Data'!AD27*50/'ICP-OES Total Metals'!$B31)</f>
        <v>&lt;1.457</v>
      </c>
      <c r="AE31" s="46" t="str">
        <f>IF('Raw ICP-OES Data'!AE27&lt;'ICP-OES Total Metals'!AE$13,'ICP-OES Total Metals'!AE$17,'Raw ICP-OES Data'!AE27*50/'ICP-OES Total Metals'!$B31)</f>
        <v>&lt;0.307</v>
      </c>
    </row>
    <row r="32" spans="1:31" s="22" customFormat="1" ht="15.75" thickBot="1" x14ac:dyDescent="0.25">
      <c r="A32" s="51">
        <f>'Raw ICP-OES Data'!A28</f>
        <v>0</v>
      </c>
      <c r="B32" s="145">
        <v>0.50070000000000003</v>
      </c>
      <c r="C32" s="46" t="str">
        <f>IF('Raw ICP-OES Data'!C28&lt;'ICP-OES Total Metals'!C$13,'ICP-OES Total Metals'!C$17,'Raw ICP-OES Data'!C28*50/'ICP-OES Total Metals'!$B32)</f>
        <v>&lt;3.326</v>
      </c>
      <c r="D32" s="46" t="str">
        <f>IF('Raw ICP-OES Data'!D28&lt;'ICP-OES Total Metals'!D$13,'ICP-OES Total Metals'!D$17,'Raw ICP-OES Data'!D28*50/'ICP-OES Total Metals'!$B32)</f>
        <v>&lt;5.82</v>
      </c>
      <c r="E32" s="46" t="str">
        <f>IF('Raw ICP-OES Data'!E28&lt;'ICP-OES Total Metals'!E$13,'ICP-OES Total Metals'!E$17,'Raw ICP-OES Data'!E28*50/'ICP-OES Total Metals'!$B32)</f>
        <v>&lt;3.97</v>
      </c>
      <c r="F32" s="46" t="str">
        <f>IF('Raw ICP-OES Data'!F28&lt;'ICP-OES Total Metals'!F$13,'ICP-OES Total Metals'!F$17,'Raw ICP-OES Data'!F28*50/'ICP-OES Total Metals'!$B32)</f>
        <v>&lt;14.698</v>
      </c>
      <c r="G32" s="46" t="str">
        <f>IF('Raw ICP-OES Data'!G28&lt;'ICP-OES Total Metals'!G$13,'ICP-OES Total Metals'!G$17,'Raw ICP-OES Data'!G28*50/'ICP-OES Total Metals'!$B32)</f>
        <v>&lt;0.217</v>
      </c>
      <c r="H32" s="46" t="str">
        <f>IF('Raw ICP-OES Data'!H28&lt;'ICP-OES Total Metals'!H$13,'ICP-OES Total Metals'!H$17,'Raw ICP-OES Data'!H28*50/'ICP-OES Total Metals'!$B32)</f>
        <v>&lt;0.2</v>
      </c>
      <c r="I32" s="46" t="str">
        <f>IF('Raw ICP-OES Data'!I28&lt;'ICP-OES Total Metals'!I$13,'ICP-OES Total Metals'!I$17,'Raw ICP-OES Data'!I28*50/'ICP-OES Total Metals'!$B32)</f>
        <v>&lt;4.358</v>
      </c>
      <c r="J32" s="46" t="str">
        <f>IF('Raw ICP-OES Data'!J28&lt;'ICP-OES Total Metals'!J$13,'ICP-OES Total Metals'!J$17,'Raw ICP-OES Data'!J28*50/'ICP-OES Total Metals'!$B32)</f>
        <v>&lt;0.3</v>
      </c>
      <c r="K32" s="46" t="str">
        <f>IF('Raw ICP-OES Data'!K28&lt;'ICP-OES Total Metals'!K$13,'ICP-OES Total Metals'!K$17,'Raw ICP-OES Data'!K28*50/'ICP-OES Total Metals'!$B32)</f>
        <v>&lt;0.527</v>
      </c>
      <c r="L32" s="46" t="str">
        <f>IF('Raw ICP-OES Data'!L28&lt;'ICP-OES Total Metals'!L$13,'ICP-OES Total Metals'!L$17,'Raw ICP-OES Data'!L28*50/'ICP-OES Total Metals'!$B32)</f>
        <v>&lt;0.43</v>
      </c>
      <c r="M32" s="46" t="str">
        <f>IF('Raw ICP-OES Data'!M28&lt;'ICP-OES Total Metals'!M$13,'ICP-OES Total Metals'!M$17,'Raw ICP-OES Data'!M28*50/'ICP-OES Total Metals'!$B32)</f>
        <v>&lt;1.129</v>
      </c>
      <c r="N32" s="46" t="str">
        <f>IF('Raw ICP-OES Data'!N28&lt;'ICP-OES Total Metals'!N$13,'ICP-OES Total Metals'!N$17,'Raw ICP-OES Data'!N28*50/'ICP-OES Total Metals'!$B32)</f>
        <v>&lt;1.81</v>
      </c>
      <c r="O32" s="46" t="str">
        <f>IF('Raw ICP-OES Data'!O28&lt;'ICP-OES Total Metals'!O$13,'ICP-OES Total Metals'!O$17,'Raw ICP-OES Data'!O28*50/'ICP-OES Total Metals'!$B32)</f>
        <v>&lt;62.4</v>
      </c>
      <c r="P32" s="46" t="str">
        <f>IF('Raw ICP-OES Data'!P28&lt;'ICP-OES Total Metals'!P$13,'ICP-OES Total Metals'!P$17,'Raw ICP-OES Data'!P28*50/'ICP-OES Total Metals'!$B32)</f>
        <v>&lt;1.866</v>
      </c>
      <c r="Q32" s="46" t="str">
        <f>IF('Raw ICP-OES Data'!Q28&lt;'ICP-OES Total Metals'!Q$13,'ICP-OES Total Metals'!Q$17,'Raw ICP-OES Data'!Q28*50/'ICP-OES Total Metals'!$B32)</f>
        <v>&lt;4.1</v>
      </c>
      <c r="R32" s="46" t="str">
        <f>IF('Raw ICP-OES Data'!R28&lt;'ICP-OES Total Metals'!R$13,'ICP-OES Total Metals'!R$17,'Raw ICP-OES Data'!R28*50/'ICP-OES Total Metals'!$B32)</f>
        <v>&lt;0.54</v>
      </c>
      <c r="S32" s="46" t="str">
        <f>IF('Raw ICP-OES Data'!S28&lt;'ICP-OES Total Metals'!S$13,'ICP-OES Total Metals'!S$17,'Raw ICP-OES Data'!S28*50/'ICP-OES Total Metals'!$B32)</f>
        <v>&lt;0.586</v>
      </c>
      <c r="T32" s="46" t="str">
        <f>IF('Raw ICP-OES Data'!T28&lt;'ICP-OES Total Metals'!T$13,'ICP-OES Total Metals'!T$17,'Raw ICP-OES Data'!T28*50/'ICP-OES Total Metals'!$B32)</f>
        <v>&lt;2.1</v>
      </c>
      <c r="U32" s="46" t="str">
        <f>IF('Raw ICP-OES Data'!U28&lt;'ICP-OES Total Metals'!U$13,'ICP-OES Total Metals'!U$17,'Raw ICP-OES Data'!U28*50/'ICP-OES Total Metals'!$B32)</f>
        <v>&lt;1.188</v>
      </c>
      <c r="V32" s="46" t="str">
        <f>IF('Raw ICP-OES Data'!V28&lt;'ICP-OES Total Metals'!V$13,'ICP-OES Total Metals'!V$17,'Raw ICP-OES Data'!V28*50/'ICP-OES Total Metals'!$B32)</f>
        <v>&lt;5.37</v>
      </c>
      <c r="W32" s="46" t="str">
        <f>IF('Raw ICP-OES Data'!W28&lt;'ICP-OES Total Metals'!W$13,'ICP-OES Total Metals'!W$17,'Raw ICP-OES Data'!W28*50/'ICP-OES Total Metals'!$B32)</f>
        <v>&lt;2.85</v>
      </c>
      <c r="X32" s="46" t="str">
        <f>IF('Raw ICP-OES Data'!X28&lt;'ICP-OES Total Metals'!X$13,'ICP-OES Total Metals'!X$17,'Raw ICP-OES Data'!X28*50/'ICP-OES Total Metals'!$B32)</f>
        <v>&lt;5.2</v>
      </c>
      <c r="Y32" s="46" t="str">
        <f>IF('Raw ICP-OES Data'!Y28&lt;'ICP-OES Total Metals'!Y$13,'ICP-OES Total Metals'!Y$17,'Raw ICP-OES Data'!Y28*50/'ICP-OES Total Metals'!$B32)</f>
        <v>&lt;5.73</v>
      </c>
      <c r="Z32" s="46" t="str">
        <f>IF('Raw ICP-OES Data'!Z28&lt;'ICP-OES Total Metals'!Z$13,'ICP-OES Total Metals'!Z$17,'Raw ICP-OES Data'!Z28*50/'ICP-OES Total Metals'!$B32)</f>
        <v>&lt;4.495</v>
      </c>
      <c r="AA32" s="46" t="str">
        <f>IF('Raw ICP-OES Data'!AA28&lt;'ICP-OES Total Metals'!AA$13,'ICP-OES Total Metals'!AA$17,'Raw ICP-OES Data'!AA28*50/'ICP-OES Total Metals'!$B32)</f>
        <v>&lt;3.4</v>
      </c>
      <c r="AB32" s="46" t="str">
        <f>IF('Raw ICP-OES Data'!AB28&lt;'ICP-OES Total Metals'!AB$13,'ICP-OES Total Metals'!AB$17,'Raw ICP-OES Data'!AB28*50/'ICP-OES Total Metals'!$B32)</f>
        <v>&lt;0.153</v>
      </c>
      <c r="AC32" s="46" t="str">
        <f>IF('Raw ICP-OES Data'!AC28&lt;'ICP-OES Total Metals'!AC$13,'ICP-OES Total Metals'!AC$17,'Raw ICP-OES Data'!AC28*50/'ICP-OES Total Metals'!$B32)</f>
        <v>&lt;0.217</v>
      </c>
      <c r="AD32" s="46" t="str">
        <f>IF('Raw ICP-OES Data'!AD28&lt;'ICP-OES Total Metals'!AD$13,'ICP-OES Total Metals'!AD$17,'Raw ICP-OES Data'!AD28*50/'ICP-OES Total Metals'!$B32)</f>
        <v>&lt;1.457</v>
      </c>
      <c r="AE32" s="46" t="str">
        <f>IF('Raw ICP-OES Data'!AE28&lt;'ICP-OES Total Metals'!AE$13,'ICP-OES Total Metals'!AE$17,'Raw ICP-OES Data'!AE28*50/'ICP-OES Total Metals'!$B32)</f>
        <v>&lt;0.307</v>
      </c>
    </row>
    <row r="33" spans="1:41" s="22" customFormat="1" ht="15.75" thickBot="1" x14ac:dyDescent="0.25">
      <c r="A33" s="51">
        <f>'Raw ICP-OES Data'!A29</f>
        <v>0</v>
      </c>
      <c r="B33" s="145">
        <v>0.50039999999999996</v>
      </c>
      <c r="C33" s="46" t="str">
        <f>IF('Raw ICP-OES Data'!C29&lt;'ICP-OES Total Metals'!C$13,'ICP-OES Total Metals'!C$17,'Raw ICP-OES Data'!C29*50/'ICP-OES Total Metals'!$B33)</f>
        <v>&lt;3.326</v>
      </c>
      <c r="D33" s="46" t="str">
        <f>IF('Raw ICP-OES Data'!D29&lt;'ICP-OES Total Metals'!D$13,'ICP-OES Total Metals'!D$17,'Raw ICP-OES Data'!D29*50/'ICP-OES Total Metals'!$B33)</f>
        <v>&lt;5.82</v>
      </c>
      <c r="E33" s="46" t="str">
        <f>IF('Raw ICP-OES Data'!E29&lt;'ICP-OES Total Metals'!E$13,'ICP-OES Total Metals'!E$17,'Raw ICP-OES Data'!E29*50/'ICP-OES Total Metals'!$B33)</f>
        <v>&lt;3.97</v>
      </c>
      <c r="F33" s="46" t="str">
        <f>IF('Raw ICP-OES Data'!F29&lt;'ICP-OES Total Metals'!F$13,'ICP-OES Total Metals'!F$17,'Raw ICP-OES Data'!F29*50/'ICP-OES Total Metals'!$B33)</f>
        <v>&lt;14.698</v>
      </c>
      <c r="G33" s="46" t="str">
        <f>IF('Raw ICP-OES Data'!G29&lt;'ICP-OES Total Metals'!G$13,'ICP-OES Total Metals'!G$17,'Raw ICP-OES Data'!G29*50/'ICP-OES Total Metals'!$B33)</f>
        <v>&lt;0.217</v>
      </c>
      <c r="H33" s="46" t="str">
        <f>IF('Raw ICP-OES Data'!H29&lt;'ICP-OES Total Metals'!H$13,'ICP-OES Total Metals'!H$17,'Raw ICP-OES Data'!H29*50/'ICP-OES Total Metals'!$B33)</f>
        <v>&lt;0.2</v>
      </c>
      <c r="I33" s="46" t="str">
        <f>IF('Raw ICP-OES Data'!I29&lt;'ICP-OES Total Metals'!I$13,'ICP-OES Total Metals'!I$17,'Raw ICP-OES Data'!I29*50/'ICP-OES Total Metals'!$B33)</f>
        <v>&lt;4.358</v>
      </c>
      <c r="J33" s="46" t="str">
        <f>IF('Raw ICP-OES Data'!J29&lt;'ICP-OES Total Metals'!J$13,'ICP-OES Total Metals'!J$17,'Raw ICP-OES Data'!J29*50/'ICP-OES Total Metals'!$B33)</f>
        <v>&lt;0.3</v>
      </c>
      <c r="K33" s="46" t="str">
        <f>IF('Raw ICP-OES Data'!K29&lt;'ICP-OES Total Metals'!K$13,'ICP-OES Total Metals'!K$17,'Raw ICP-OES Data'!K29*50/'ICP-OES Total Metals'!$B33)</f>
        <v>&lt;0.527</v>
      </c>
      <c r="L33" s="46" t="str">
        <f>IF('Raw ICP-OES Data'!L29&lt;'ICP-OES Total Metals'!L$13,'ICP-OES Total Metals'!L$17,'Raw ICP-OES Data'!L29*50/'ICP-OES Total Metals'!$B33)</f>
        <v>&lt;0.43</v>
      </c>
      <c r="M33" s="46" t="str">
        <f>IF('Raw ICP-OES Data'!M29&lt;'ICP-OES Total Metals'!M$13,'ICP-OES Total Metals'!M$17,'Raw ICP-OES Data'!M29*50/'ICP-OES Total Metals'!$B33)</f>
        <v>&lt;1.129</v>
      </c>
      <c r="N33" s="46" t="str">
        <f>IF('Raw ICP-OES Data'!N29&lt;'ICP-OES Total Metals'!N$13,'ICP-OES Total Metals'!N$17,'Raw ICP-OES Data'!N29*50/'ICP-OES Total Metals'!$B33)</f>
        <v>&lt;1.81</v>
      </c>
      <c r="O33" s="46" t="str">
        <f>IF('Raw ICP-OES Data'!O29&lt;'ICP-OES Total Metals'!O$13,'ICP-OES Total Metals'!O$17,'Raw ICP-OES Data'!O29*50/'ICP-OES Total Metals'!$B33)</f>
        <v>&lt;62.4</v>
      </c>
      <c r="P33" s="46" t="str">
        <f>IF('Raw ICP-OES Data'!P29&lt;'ICP-OES Total Metals'!P$13,'ICP-OES Total Metals'!P$17,'Raw ICP-OES Data'!P29*50/'ICP-OES Total Metals'!$B33)</f>
        <v>&lt;1.866</v>
      </c>
      <c r="Q33" s="46" t="str">
        <f>IF('Raw ICP-OES Data'!Q29&lt;'ICP-OES Total Metals'!Q$13,'ICP-OES Total Metals'!Q$17,'Raw ICP-OES Data'!Q29*50/'ICP-OES Total Metals'!$B33)</f>
        <v>&lt;4.1</v>
      </c>
      <c r="R33" s="46" t="str">
        <f>IF('Raw ICP-OES Data'!R29&lt;'ICP-OES Total Metals'!R$13,'ICP-OES Total Metals'!R$17,'Raw ICP-OES Data'!R29*50/'ICP-OES Total Metals'!$B33)</f>
        <v>&lt;0.54</v>
      </c>
      <c r="S33" s="46" t="str">
        <f>IF('Raw ICP-OES Data'!S29&lt;'ICP-OES Total Metals'!S$13,'ICP-OES Total Metals'!S$17,'Raw ICP-OES Data'!S29*50/'ICP-OES Total Metals'!$B33)</f>
        <v>&lt;0.586</v>
      </c>
      <c r="T33" s="46" t="str">
        <f>IF('Raw ICP-OES Data'!T29&lt;'ICP-OES Total Metals'!T$13,'ICP-OES Total Metals'!T$17,'Raw ICP-OES Data'!T29*50/'ICP-OES Total Metals'!$B33)</f>
        <v>&lt;2.1</v>
      </c>
      <c r="U33" s="46" t="str">
        <f>IF('Raw ICP-OES Data'!U29&lt;'ICP-OES Total Metals'!U$13,'ICP-OES Total Metals'!U$17,'Raw ICP-OES Data'!U29*50/'ICP-OES Total Metals'!$B33)</f>
        <v>&lt;1.188</v>
      </c>
      <c r="V33" s="46" t="str">
        <f>IF('Raw ICP-OES Data'!V29&lt;'ICP-OES Total Metals'!V$13,'ICP-OES Total Metals'!V$17,'Raw ICP-OES Data'!V29*50/'ICP-OES Total Metals'!$B33)</f>
        <v>&lt;5.37</v>
      </c>
      <c r="W33" s="46" t="str">
        <f>IF('Raw ICP-OES Data'!W29&lt;'ICP-OES Total Metals'!W$13,'ICP-OES Total Metals'!W$17,'Raw ICP-OES Data'!W29*50/'ICP-OES Total Metals'!$B33)</f>
        <v>&lt;2.85</v>
      </c>
      <c r="X33" s="46" t="str">
        <f>IF('Raw ICP-OES Data'!X29&lt;'ICP-OES Total Metals'!X$13,'ICP-OES Total Metals'!X$17,'Raw ICP-OES Data'!X29*50/'ICP-OES Total Metals'!$B33)</f>
        <v>&lt;5.2</v>
      </c>
      <c r="Y33" s="46" t="str">
        <f>IF('Raw ICP-OES Data'!Y29&lt;'ICP-OES Total Metals'!Y$13,'ICP-OES Total Metals'!Y$17,'Raw ICP-OES Data'!Y29*50/'ICP-OES Total Metals'!$B33)</f>
        <v>&lt;5.73</v>
      </c>
      <c r="Z33" s="46" t="str">
        <f>IF('Raw ICP-OES Data'!Z29&lt;'ICP-OES Total Metals'!Z$13,'ICP-OES Total Metals'!Z$17,'Raw ICP-OES Data'!Z29*50/'ICP-OES Total Metals'!$B33)</f>
        <v>&lt;4.495</v>
      </c>
      <c r="AA33" s="46" t="str">
        <f>IF('Raw ICP-OES Data'!AA29&lt;'ICP-OES Total Metals'!AA$13,'ICP-OES Total Metals'!AA$17,'Raw ICP-OES Data'!AA29*50/'ICP-OES Total Metals'!$B33)</f>
        <v>&lt;3.4</v>
      </c>
      <c r="AB33" s="46" t="str">
        <f>IF('Raw ICP-OES Data'!AB29&lt;'ICP-OES Total Metals'!AB$13,'ICP-OES Total Metals'!AB$17,'Raw ICP-OES Data'!AB29*50/'ICP-OES Total Metals'!$B33)</f>
        <v>&lt;0.153</v>
      </c>
      <c r="AC33" s="46" t="str">
        <f>IF('Raw ICP-OES Data'!AC29&lt;'ICP-OES Total Metals'!AC$13,'ICP-OES Total Metals'!AC$17,'Raw ICP-OES Data'!AC29*50/'ICP-OES Total Metals'!$B33)</f>
        <v>&lt;0.217</v>
      </c>
      <c r="AD33" s="46" t="str">
        <f>IF('Raw ICP-OES Data'!AD29&lt;'ICP-OES Total Metals'!AD$13,'ICP-OES Total Metals'!AD$17,'Raw ICP-OES Data'!AD29*50/'ICP-OES Total Metals'!$B33)</f>
        <v>&lt;1.457</v>
      </c>
      <c r="AE33" s="46" t="str">
        <f>IF('Raw ICP-OES Data'!AE29&lt;'ICP-OES Total Metals'!AE$13,'ICP-OES Total Metals'!AE$17,'Raw ICP-OES Data'!AE29*50/'ICP-OES Total Metals'!$B33)</f>
        <v>&lt;0.307</v>
      </c>
    </row>
    <row r="34" spans="1:41" s="22" customFormat="1" ht="15.75" thickBot="1" x14ac:dyDescent="0.25">
      <c r="A34" s="51">
        <f>'Raw ICP-OES Data'!A30</f>
        <v>0</v>
      </c>
      <c r="B34" s="108">
        <v>0.50039999999999996</v>
      </c>
      <c r="C34" s="46" t="str">
        <f>IF('Raw ICP-OES Data'!C30&lt;'ICP-OES Total Metals'!C$13,'ICP-OES Total Metals'!C$17,'Raw ICP-OES Data'!C30*50/'ICP-OES Total Metals'!$B34)</f>
        <v>&lt;3.326</v>
      </c>
      <c r="D34" s="46" t="str">
        <f>IF('Raw ICP-OES Data'!D30&lt;'ICP-OES Total Metals'!D$13,'ICP-OES Total Metals'!D$17,'Raw ICP-OES Data'!D30*50/'ICP-OES Total Metals'!$B34)</f>
        <v>&lt;5.82</v>
      </c>
      <c r="E34" s="46" t="str">
        <f>IF('Raw ICP-OES Data'!E30&lt;'ICP-OES Total Metals'!E$13,'ICP-OES Total Metals'!E$17,'Raw ICP-OES Data'!E30*50/'ICP-OES Total Metals'!$B34)</f>
        <v>&lt;3.97</v>
      </c>
      <c r="F34" s="46" t="str">
        <f>IF('Raw ICP-OES Data'!F30&lt;'ICP-OES Total Metals'!F$13,'ICP-OES Total Metals'!F$17,'Raw ICP-OES Data'!F30*50/'ICP-OES Total Metals'!$B34)</f>
        <v>&lt;14.698</v>
      </c>
      <c r="G34" s="46" t="str">
        <f>IF('Raw ICP-OES Data'!G30&lt;'ICP-OES Total Metals'!G$13,'ICP-OES Total Metals'!G$17,'Raw ICP-OES Data'!G30*50/'ICP-OES Total Metals'!$B34)</f>
        <v>&lt;0.217</v>
      </c>
      <c r="H34" s="46" t="str">
        <f>IF('Raw ICP-OES Data'!H30&lt;'ICP-OES Total Metals'!H$13,'ICP-OES Total Metals'!H$17,'Raw ICP-OES Data'!H30*50/'ICP-OES Total Metals'!$B34)</f>
        <v>&lt;0.2</v>
      </c>
      <c r="I34" s="46" t="str">
        <f>IF('Raw ICP-OES Data'!I30&lt;'ICP-OES Total Metals'!I$13,'ICP-OES Total Metals'!I$17,'Raw ICP-OES Data'!I30*50/'ICP-OES Total Metals'!$B34)</f>
        <v>&lt;4.358</v>
      </c>
      <c r="J34" s="46" t="str">
        <f>IF('Raw ICP-OES Data'!J30&lt;'ICP-OES Total Metals'!J$13,'ICP-OES Total Metals'!J$17,'Raw ICP-OES Data'!J30*50/'ICP-OES Total Metals'!$B34)</f>
        <v>&lt;0.3</v>
      </c>
      <c r="K34" s="46" t="str">
        <f>IF('Raw ICP-OES Data'!K30&lt;'ICP-OES Total Metals'!K$13,'ICP-OES Total Metals'!K$17,'Raw ICP-OES Data'!K30*50/'ICP-OES Total Metals'!$B34)</f>
        <v>&lt;0.527</v>
      </c>
      <c r="L34" s="46" t="str">
        <f>IF('Raw ICP-OES Data'!L30&lt;'ICP-OES Total Metals'!L$13,'ICP-OES Total Metals'!L$17,'Raw ICP-OES Data'!L30*50/'ICP-OES Total Metals'!$B34)</f>
        <v>&lt;0.43</v>
      </c>
      <c r="M34" s="46" t="str">
        <f>IF('Raw ICP-OES Data'!M30&lt;'ICP-OES Total Metals'!M$13,'ICP-OES Total Metals'!M$17,'Raw ICP-OES Data'!M30*50/'ICP-OES Total Metals'!$B34)</f>
        <v>&lt;1.129</v>
      </c>
      <c r="N34" s="46" t="str">
        <f>IF('Raw ICP-OES Data'!N30&lt;'ICP-OES Total Metals'!N$13,'ICP-OES Total Metals'!N$17,'Raw ICP-OES Data'!N30*50/'ICP-OES Total Metals'!$B34)</f>
        <v>&lt;1.81</v>
      </c>
      <c r="O34" s="46" t="str">
        <f>IF('Raw ICP-OES Data'!O30&lt;'ICP-OES Total Metals'!O$13,'ICP-OES Total Metals'!O$17,'Raw ICP-OES Data'!O30*50/'ICP-OES Total Metals'!$B34)</f>
        <v>&lt;62.4</v>
      </c>
      <c r="P34" s="46" t="str">
        <f>IF('Raw ICP-OES Data'!P30&lt;'ICP-OES Total Metals'!P$13,'ICP-OES Total Metals'!P$17,'Raw ICP-OES Data'!P30*50/'ICP-OES Total Metals'!$B34)</f>
        <v>&lt;1.866</v>
      </c>
      <c r="Q34" s="46" t="str">
        <f>IF('Raw ICP-OES Data'!Q30&lt;'ICP-OES Total Metals'!Q$13,'ICP-OES Total Metals'!Q$17,'Raw ICP-OES Data'!Q30*50/'ICP-OES Total Metals'!$B34)</f>
        <v>&lt;4.1</v>
      </c>
      <c r="R34" s="46" t="str">
        <f>IF('Raw ICP-OES Data'!R30&lt;'ICP-OES Total Metals'!R$13,'ICP-OES Total Metals'!R$17,'Raw ICP-OES Data'!R30*50/'ICP-OES Total Metals'!$B34)</f>
        <v>&lt;0.54</v>
      </c>
      <c r="S34" s="46" t="str">
        <f>IF('Raw ICP-OES Data'!S30&lt;'ICP-OES Total Metals'!S$13,'ICP-OES Total Metals'!S$17,'Raw ICP-OES Data'!S30*50/'ICP-OES Total Metals'!$B34)</f>
        <v>&lt;0.586</v>
      </c>
      <c r="T34" s="46" t="str">
        <f>IF('Raw ICP-OES Data'!T30&lt;'ICP-OES Total Metals'!T$13,'ICP-OES Total Metals'!T$17,'Raw ICP-OES Data'!T30*50/'ICP-OES Total Metals'!$B34)</f>
        <v>&lt;2.1</v>
      </c>
      <c r="U34" s="46" t="str">
        <f>IF('Raw ICP-OES Data'!U30&lt;'ICP-OES Total Metals'!U$13,'ICP-OES Total Metals'!U$17,'Raw ICP-OES Data'!U30*50/'ICP-OES Total Metals'!$B34)</f>
        <v>&lt;1.188</v>
      </c>
      <c r="V34" s="46" t="str">
        <f>IF('Raw ICP-OES Data'!V30&lt;'ICP-OES Total Metals'!V$13,'ICP-OES Total Metals'!V$17,'Raw ICP-OES Data'!V30*50/'ICP-OES Total Metals'!$B34)</f>
        <v>&lt;5.37</v>
      </c>
      <c r="W34" s="46" t="str">
        <f>IF('Raw ICP-OES Data'!W30&lt;'ICP-OES Total Metals'!W$13,'ICP-OES Total Metals'!W$17,'Raw ICP-OES Data'!W30*50/'ICP-OES Total Metals'!$B34)</f>
        <v>&lt;2.85</v>
      </c>
      <c r="X34" s="46" t="str">
        <f>IF('Raw ICP-OES Data'!X30&lt;'ICP-OES Total Metals'!X$13,'ICP-OES Total Metals'!X$17,'Raw ICP-OES Data'!X30*50/'ICP-OES Total Metals'!$B34)</f>
        <v>&lt;5.2</v>
      </c>
      <c r="Y34" s="46" t="str">
        <f>IF('Raw ICP-OES Data'!Y30&lt;'ICP-OES Total Metals'!Y$13,'ICP-OES Total Metals'!Y$17,'Raw ICP-OES Data'!Y30*50/'ICP-OES Total Metals'!$B34)</f>
        <v>&lt;5.73</v>
      </c>
      <c r="Z34" s="46" t="str">
        <f>IF('Raw ICP-OES Data'!Z30&lt;'ICP-OES Total Metals'!Z$13,'ICP-OES Total Metals'!Z$17,'Raw ICP-OES Data'!Z30*50/'ICP-OES Total Metals'!$B34)</f>
        <v>&lt;4.495</v>
      </c>
      <c r="AA34" s="46" t="str">
        <f>IF('Raw ICP-OES Data'!AA30&lt;'ICP-OES Total Metals'!AA$13,'ICP-OES Total Metals'!AA$17,'Raw ICP-OES Data'!AA30*50/'ICP-OES Total Metals'!$B34)</f>
        <v>&lt;3.4</v>
      </c>
      <c r="AB34" s="46" t="str">
        <f>IF('Raw ICP-OES Data'!AB30&lt;'ICP-OES Total Metals'!AB$13,'ICP-OES Total Metals'!AB$17,'Raw ICP-OES Data'!AB30*50/'ICP-OES Total Metals'!$B34)</f>
        <v>&lt;0.153</v>
      </c>
      <c r="AC34" s="46" t="str">
        <f>IF('Raw ICP-OES Data'!AC30&lt;'ICP-OES Total Metals'!AC$13,'ICP-OES Total Metals'!AC$17,'Raw ICP-OES Data'!AC30*50/'ICP-OES Total Metals'!$B34)</f>
        <v>&lt;0.217</v>
      </c>
      <c r="AD34" s="46" t="str">
        <f>IF('Raw ICP-OES Data'!AD30&lt;'ICP-OES Total Metals'!AD$13,'ICP-OES Total Metals'!AD$17,'Raw ICP-OES Data'!AD30*50/'ICP-OES Total Metals'!$B34)</f>
        <v>&lt;1.457</v>
      </c>
      <c r="AE34" s="46" t="str">
        <f>IF('Raw ICP-OES Data'!AE30&lt;'ICP-OES Total Metals'!AE$13,'ICP-OES Total Metals'!AE$17,'Raw ICP-OES Data'!AE30*50/'ICP-OES Total Metals'!$B34)</f>
        <v>&lt;0.307</v>
      </c>
    </row>
    <row r="35" spans="1:41" s="22" customFormat="1" ht="15.75" thickBot="1" x14ac:dyDescent="0.25">
      <c r="A35" s="51">
        <f>'Raw ICP-OES Data'!A31</f>
        <v>0</v>
      </c>
      <c r="B35" s="108">
        <v>0.49919999999999998</v>
      </c>
      <c r="C35" s="46" t="str">
        <f>IF('Raw ICP-OES Data'!C31&lt;'ICP-OES Total Metals'!C$13,'ICP-OES Total Metals'!C$17,'Raw ICP-OES Data'!C31*50/'ICP-OES Total Metals'!$B35)</f>
        <v>&lt;3.326</v>
      </c>
      <c r="D35" s="46" t="str">
        <f>IF('Raw ICP-OES Data'!D31&lt;'ICP-OES Total Metals'!D$13,'ICP-OES Total Metals'!D$17,'Raw ICP-OES Data'!D31*50/'ICP-OES Total Metals'!$B35)</f>
        <v>&lt;5.82</v>
      </c>
      <c r="E35" s="46" t="str">
        <f>IF('Raw ICP-OES Data'!E31&lt;'ICP-OES Total Metals'!E$13,'ICP-OES Total Metals'!E$17,'Raw ICP-OES Data'!E31*50/'ICP-OES Total Metals'!$B35)</f>
        <v>&lt;3.97</v>
      </c>
      <c r="F35" s="46" t="str">
        <f>IF('Raw ICP-OES Data'!F31&lt;'ICP-OES Total Metals'!F$13,'ICP-OES Total Metals'!F$17,'Raw ICP-OES Data'!F31*50/'ICP-OES Total Metals'!$B35)</f>
        <v>&lt;14.698</v>
      </c>
      <c r="G35" s="46" t="str">
        <f>IF('Raw ICP-OES Data'!G31&lt;'ICP-OES Total Metals'!G$13,'ICP-OES Total Metals'!G$17,'Raw ICP-OES Data'!G31*50/'ICP-OES Total Metals'!$B35)</f>
        <v>&lt;0.217</v>
      </c>
      <c r="H35" s="46" t="str">
        <f>IF('Raw ICP-OES Data'!H31&lt;'ICP-OES Total Metals'!H$13,'ICP-OES Total Metals'!H$17,'Raw ICP-OES Data'!H31*50/'ICP-OES Total Metals'!$B35)</f>
        <v>&lt;0.2</v>
      </c>
      <c r="I35" s="46" t="str">
        <f>IF('Raw ICP-OES Data'!I31&lt;'ICP-OES Total Metals'!I$13,'ICP-OES Total Metals'!I$17,'Raw ICP-OES Data'!I31*50/'ICP-OES Total Metals'!$B35)</f>
        <v>&lt;4.358</v>
      </c>
      <c r="J35" s="46" t="str">
        <f>IF('Raw ICP-OES Data'!J31&lt;'ICP-OES Total Metals'!J$13,'ICP-OES Total Metals'!J$17,'Raw ICP-OES Data'!J31*50/'ICP-OES Total Metals'!$B35)</f>
        <v>&lt;0.3</v>
      </c>
      <c r="K35" s="46" t="str">
        <f>IF('Raw ICP-OES Data'!K31&lt;'ICP-OES Total Metals'!K$13,'ICP-OES Total Metals'!K$17,'Raw ICP-OES Data'!K31*50/'ICP-OES Total Metals'!$B35)</f>
        <v>&lt;0.527</v>
      </c>
      <c r="L35" s="46" t="str">
        <f>IF('Raw ICP-OES Data'!L31&lt;'ICP-OES Total Metals'!L$13,'ICP-OES Total Metals'!L$17,'Raw ICP-OES Data'!L31*50/'ICP-OES Total Metals'!$B35)</f>
        <v>&lt;0.43</v>
      </c>
      <c r="M35" s="46" t="str">
        <f>IF('Raw ICP-OES Data'!M31&lt;'ICP-OES Total Metals'!M$13,'ICP-OES Total Metals'!M$17,'Raw ICP-OES Data'!M31*50/'ICP-OES Total Metals'!$B35)</f>
        <v>&lt;1.129</v>
      </c>
      <c r="N35" s="46" t="str">
        <f>IF('Raw ICP-OES Data'!N31&lt;'ICP-OES Total Metals'!N$13,'ICP-OES Total Metals'!N$17,'Raw ICP-OES Data'!N31*50/'ICP-OES Total Metals'!$B35)</f>
        <v>&lt;1.81</v>
      </c>
      <c r="O35" s="46" t="str">
        <f>IF('Raw ICP-OES Data'!O31&lt;'ICP-OES Total Metals'!O$13,'ICP-OES Total Metals'!O$17,'Raw ICP-OES Data'!O31*50/'ICP-OES Total Metals'!$B35)</f>
        <v>&lt;62.4</v>
      </c>
      <c r="P35" s="46" t="str">
        <f>IF('Raw ICP-OES Data'!P31&lt;'ICP-OES Total Metals'!P$13,'ICP-OES Total Metals'!P$17,'Raw ICP-OES Data'!P31*50/'ICP-OES Total Metals'!$B35)</f>
        <v>&lt;1.866</v>
      </c>
      <c r="Q35" s="46" t="str">
        <f>IF('Raw ICP-OES Data'!Q31&lt;'ICP-OES Total Metals'!Q$13,'ICP-OES Total Metals'!Q$17,'Raw ICP-OES Data'!Q31*50/'ICP-OES Total Metals'!$B35)</f>
        <v>&lt;4.1</v>
      </c>
      <c r="R35" s="46" t="str">
        <f>IF('Raw ICP-OES Data'!R31&lt;'ICP-OES Total Metals'!R$13,'ICP-OES Total Metals'!R$17,'Raw ICP-OES Data'!R31*50/'ICP-OES Total Metals'!$B35)</f>
        <v>&lt;0.54</v>
      </c>
      <c r="S35" s="46" t="str">
        <f>IF('Raw ICP-OES Data'!S31&lt;'ICP-OES Total Metals'!S$13,'ICP-OES Total Metals'!S$17,'Raw ICP-OES Data'!S31*50/'ICP-OES Total Metals'!$B35)</f>
        <v>&lt;0.586</v>
      </c>
      <c r="T35" s="46" t="str">
        <f>IF('Raw ICP-OES Data'!T31&lt;'ICP-OES Total Metals'!T$13,'ICP-OES Total Metals'!T$17,'Raw ICP-OES Data'!T31*50/'ICP-OES Total Metals'!$B35)</f>
        <v>&lt;2.1</v>
      </c>
      <c r="U35" s="46" t="str">
        <f>IF('Raw ICP-OES Data'!U31&lt;'ICP-OES Total Metals'!U$13,'ICP-OES Total Metals'!U$17,'Raw ICP-OES Data'!U31*50/'ICP-OES Total Metals'!$B35)</f>
        <v>&lt;1.188</v>
      </c>
      <c r="V35" s="46" t="str">
        <f>IF('Raw ICP-OES Data'!V31&lt;'ICP-OES Total Metals'!V$13,'ICP-OES Total Metals'!V$17,'Raw ICP-OES Data'!V31*50/'ICP-OES Total Metals'!$B35)</f>
        <v>&lt;5.37</v>
      </c>
      <c r="W35" s="46" t="str">
        <f>IF('Raw ICP-OES Data'!W31&lt;'ICP-OES Total Metals'!W$13,'ICP-OES Total Metals'!W$17,'Raw ICP-OES Data'!W31*50/'ICP-OES Total Metals'!$B35)</f>
        <v>&lt;2.85</v>
      </c>
      <c r="X35" s="46" t="str">
        <f>IF('Raw ICP-OES Data'!X31&lt;'ICP-OES Total Metals'!X$13,'ICP-OES Total Metals'!X$17,'Raw ICP-OES Data'!X31*50/'ICP-OES Total Metals'!$B35)</f>
        <v>&lt;5.2</v>
      </c>
      <c r="Y35" s="46" t="str">
        <f>IF('Raw ICP-OES Data'!Y31&lt;'ICP-OES Total Metals'!Y$13,'ICP-OES Total Metals'!Y$17,'Raw ICP-OES Data'!Y31*50/'ICP-OES Total Metals'!$B35)</f>
        <v>&lt;5.73</v>
      </c>
      <c r="Z35" s="46" t="str">
        <f>IF('Raw ICP-OES Data'!Z31&lt;'ICP-OES Total Metals'!Z$13,'ICP-OES Total Metals'!Z$17,'Raw ICP-OES Data'!Z31*50/'ICP-OES Total Metals'!$B35)</f>
        <v>&lt;4.495</v>
      </c>
      <c r="AA35" s="46" t="str">
        <f>IF('Raw ICP-OES Data'!AA31&lt;'ICP-OES Total Metals'!AA$13,'ICP-OES Total Metals'!AA$17,'Raw ICP-OES Data'!AA31*50/'ICP-OES Total Metals'!$B35)</f>
        <v>&lt;3.4</v>
      </c>
      <c r="AB35" s="46" t="str">
        <f>IF('Raw ICP-OES Data'!AB31&lt;'ICP-OES Total Metals'!AB$13,'ICP-OES Total Metals'!AB$17,'Raw ICP-OES Data'!AB31*50/'ICP-OES Total Metals'!$B35)</f>
        <v>&lt;0.153</v>
      </c>
      <c r="AC35" s="46" t="str">
        <f>IF('Raw ICP-OES Data'!AC31&lt;'ICP-OES Total Metals'!AC$13,'ICP-OES Total Metals'!AC$17,'Raw ICP-OES Data'!AC31*50/'ICP-OES Total Metals'!$B35)</f>
        <v>&lt;0.217</v>
      </c>
      <c r="AD35" s="46" t="str">
        <f>IF('Raw ICP-OES Data'!AD31&lt;'ICP-OES Total Metals'!AD$13,'ICP-OES Total Metals'!AD$17,'Raw ICP-OES Data'!AD31*50/'ICP-OES Total Metals'!$B35)</f>
        <v>&lt;1.457</v>
      </c>
      <c r="AE35" s="46" t="str">
        <f>IF('Raw ICP-OES Data'!AE31&lt;'ICP-OES Total Metals'!AE$13,'ICP-OES Total Metals'!AE$17,'Raw ICP-OES Data'!AE31*50/'ICP-OES Total Metals'!$B35)</f>
        <v>&lt;0.307</v>
      </c>
    </row>
    <row r="36" spans="1:41" s="22" customFormat="1" ht="15.75" thickBot="1" x14ac:dyDescent="0.25">
      <c r="A36" s="51">
        <f>'Raw ICP-OES Data'!A32</f>
        <v>0</v>
      </c>
      <c r="B36" s="108">
        <v>0.49909999999999999</v>
      </c>
      <c r="C36" s="46" t="str">
        <f>IF('Raw ICP-OES Data'!C32&lt;'ICP-OES Total Metals'!C$13,'ICP-OES Total Metals'!C$17,'Raw ICP-OES Data'!C32*50/'ICP-OES Total Metals'!$B36)</f>
        <v>&lt;3.326</v>
      </c>
      <c r="D36" s="46" t="str">
        <f>IF('Raw ICP-OES Data'!D32&lt;'ICP-OES Total Metals'!D$13,'ICP-OES Total Metals'!D$17,'Raw ICP-OES Data'!D32*50/'ICP-OES Total Metals'!$B36)</f>
        <v>&lt;5.82</v>
      </c>
      <c r="E36" s="46" t="str">
        <f>IF('Raw ICP-OES Data'!E32&lt;'ICP-OES Total Metals'!E$13,'ICP-OES Total Metals'!E$17,'Raw ICP-OES Data'!E32*50/'ICP-OES Total Metals'!$B36)</f>
        <v>&lt;3.97</v>
      </c>
      <c r="F36" s="46" t="str">
        <f>IF('Raw ICP-OES Data'!F32&lt;'ICP-OES Total Metals'!F$13,'ICP-OES Total Metals'!F$17,'Raw ICP-OES Data'!F32*50/'ICP-OES Total Metals'!$B36)</f>
        <v>&lt;14.698</v>
      </c>
      <c r="G36" s="46" t="str">
        <f>IF('Raw ICP-OES Data'!G32&lt;'ICP-OES Total Metals'!G$13,'ICP-OES Total Metals'!G$17,'Raw ICP-OES Data'!G32*50/'ICP-OES Total Metals'!$B36)</f>
        <v>&lt;0.217</v>
      </c>
      <c r="H36" s="46" t="str">
        <f>IF('Raw ICP-OES Data'!H32&lt;'ICP-OES Total Metals'!H$13,'ICP-OES Total Metals'!H$17,'Raw ICP-OES Data'!H32*50/'ICP-OES Total Metals'!$B36)</f>
        <v>&lt;0.2</v>
      </c>
      <c r="I36" s="46" t="str">
        <f>IF('Raw ICP-OES Data'!I32&lt;'ICP-OES Total Metals'!I$13,'ICP-OES Total Metals'!I$17,'Raw ICP-OES Data'!I32*50/'ICP-OES Total Metals'!$B36)</f>
        <v>&lt;4.358</v>
      </c>
      <c r="J36" s="46" t="str">
        <f>IF('Raw ICP-OES Data'!J32&lt;'ICP-OES Total Metals'!J$13,'ICP-OES Total Metals'!J$17,'Raw ICP-OES Data'!J32*50/'ICP-OES Total Metals'!$B36)</f>
        <v>&lt;0.3</v>
      </c>
      <c r="K36" s="46" t="str">
        <f>IF('Raw ICP-OES Data'!K32&lt;'ICP-OES Total Metals'!K$13,'ICP-OES Total Metals'!K$17,'Raw ICP-OES Data'!K32*50/'ICP-OES Total Metals'!$B36)</f>
        <v>&lt;0.527</v>
      </c>
      <c r="L36" s="46" t="str">
        <f>IF('Raw ICP-OES Data'!L32&lt;'ICP-OES Total Metals'!L$13,'ICP-OES Total Metals'!L$17,'Raw ICP-OES Data'!L32*50/'ICP-OES Total Metals'!$B36)</f>
        <v>&lt;0.43</v>
      </c>
      <c r="M36" s="46" t="str">
        <f>IF('Raw ICP-OES Data'!M32&lt;'ICP-OES Total Metals'!M$13,'ICP-OES Total Metals'!M$17,'Raw ICP-OES Data'!M32*50/'ICP-OES Total Metals'!$B36)</f>
        <v>&lt;1.129</v>
      </c>
      <c r="N36" s="46" t="str">
        <f>IF('Raw ICP-OES Data'!N32&lt;'ICP-OES Total Metals'!N$13,'ICP-OES Total Metals'!N$17,'Raw ICP-OES Data'!N32*50/'ICP-OES Total Metals'!$B36)</f>
        <v>&lt;1.81</v>
      </c>
      <c r="O36" s="46" t="str">
        <f>IF('Raw ICP-OES Data'!O32&lt;'ICP-OES Total Metals'!O$13,'ICP-OES Total Metals'!O$17,'Raw ICP-OES Data'!O32*50/'ICP-OES Total Metals'!$B36)</f>
        <v>&lt;62.4</v>
      </c>
      <c r="P36" s="46" t="str">
        <f>IF('Raw ICP-OES Data'!P32&lt;'ICP-OES Total Metals'!P$13,'ICP-OES Total Metals'!P$17,'Raw ICP-OES Data'!P32*50/'ICP-OES Total Metals'!$B36)</f>
        <v>&lt;1.866</v>
      </c>
      <c r="Q36" s="46" t="str">
        <f>IF('Raw ICP-OES Data'!Q32&lt;'ICP-OES Total Metals'!Q$13,'ICP-OES Total Metals'!Q$17,'Raw ICP-OES Data'!Q32*50/'ICP-OES Total Metals'!$B36)</f>
        <v>&lt;4.1</v>
      </c>
      <c r="R36" s="46" t="str">
        <f>IF('Raw ICP-OES Data'!R32&lt;'ICP-OES Total Metals'!R$13,'ICP-OES Total Metals'!R$17,'Raw ICP-OES Data'!R32*50/'ICP-OES Total Metals'!$B36)</f>
        <v>&lt;0.54</v>
      </c>
      <c r="S36" s="46" t="str">
        <f>IF('Raw ICP-OES Data'!S32&lt;'ICP-OES Total Metals'!S$13,'ICP-OES Total Metals'!S$17,'Raw ICP-OES Data'!S32*50/'ICP-OES Total Metals'!$B36)</f>
        <v>&lt;0.586</v>
      </c>
      <c r="T36" s="46" t="str">
        <f>IF('Raw ICP-OES Data'!T32&lt;'ICP-OES Total Metals'!T$13,'ICP-OES Total Metals'!T$17,'Raw ICP-OES Data'!T32*50/'ICP-OES Total Metals'!$B36)</f>
        <v>&lt;2.1</v>
      </c>
      <c r="U36" s="46" t="str">
        <f>IF('Raw ICP-OES Data'!U32&lt;'ICP-OES Total Metals'!U$13,'ICP-OES Total Metals'!U$17,'Raw ICP-OES Data'!U32*50/'ICP-OES Total Metals'!$B36)</f>
        <v>&lt;1.188</v>
      </c>
      <c r="V36" s="46" t="str">
        <f>IF('Raw ICP-OES Data'!V32&lt;'ICP-OES Total Metals'!V$13,'ICP-OES Total Metals'!V$17,'Raw ICP-OES Data'!V32*50/'ICP-OES Total Metals'!$B36)</f>
        <v>&lt;5.37</v>
      </c>
      <c r="W36" s="46" t="str">
        <f>IF('Raw ICP-OES Data'!W32&lt;'ICP-OES Total Metals'!W$13,'ICP-OES Total Metals'!W$17,'Raw ICP-OES Data'!W32*50/'ICP-OES Total Metals'!$B36)</f>
        <v>&lt;2.85</v>
      </c>
      <c r="X36" s="46" t="str">
        <f>IF('Raw ICP-OES Data'!X32&lt;'ICP-OES Total Metals'!X$13,'ICP-OES Total Metals'!X$17,'Raw ICP-OES Data'!X32*50/'ICP-OES Total Metals'!$B36)</f>
        <v>&lt;5.2</v>
      </c>
      <c r="Y36" s="46" t="str">
        <f>IF('Raw ICP-OES Data'!Y32&lt;'ICP-OES Total Metals'!Y$13,'ICP-OES Total Metals'!Y$17,'Raw ICP-OES Data'!Y32*50/'ICP-OES Total Metals'!$B36)</f>
        <v>&lt;5.73</v>
      </c>
      <c r="Z36" s="46" t="str">
        <f>IF('Raw ICP-OES Data'!Z32&lt;'ICP-OES Total Metals'!Z$13,'ICP-OES Total Metals'!Z$17,'Raw ICP-OES Data'!Z32*50/'ICP-OES Total Metals'!$B36)</f>
        <v>&lt;4.495</v>
      </c>
      <c r="AA36" s="46" t="str">
        <f>IF('Raw ICP-OES Data'!AA32&lt;'ICP-OES Total Metals'!AA$13,'ICP-OES Total Metals'!AA$17,'Raw ICP-OES Data'!AA32*50/'ICP-OES Total Metals'!$B36)</f>
        <v>&lt;3.4</v>
      </c>
      <c r="AB36" s="46" t="str">
        <f>IF('Raw ICP-OES Data'!AB32&lt;'ICP-OES Total Metals'!AB$13,'ICP-OES Total Metals'!AB$17,'Raw ICP-OES Data'!AB32*50/'ICP-OES Total Metals'!$B36)</f>
        <v>&lt;0.153</v>
      </c>
      <c r="AC36" s="46" t="str">
        <f>IF('Raw ICP-OES Data'!AC32&lt;'ICP-OES Total Metals'!AC$13,'ICP-OES Total Metals'!AC$17,'Raw ICP-OES Data'!AC32*50/'ICP-OES Total Metals'!$B36)</f>
        <v>&lt;0.217</v>
      </c>
      <c r="AD36" s="46" t="str">
        <f>IF('Raw ICP-OES Data'!AD32&lt;'ICP-OES Total Metals'!AD$13,'ICP-OES Total Metals'!AD$17,'Raw ICP-OES Data'!AD32*50/'ICP-OES Total Metals'!$B36)</f>
        <v>&lt;1.457</v>
      </c>
      <c r="AE36" s="46" t="str">
        <f>IF('Raw ICP-OES Data'!AE32&lt;'ICP-OES Total Metals'!AE$13,'ICP-OES Total Metals'!AE$17,'Raw ICP-OES Data'!AE32*50/'ICP-OES Total Metals'!$B36)</f>
        <v>&lt;0.307</v>
      </c>
    </row>
    <row r="37" spans="1:41" s="22" customFormat="1" ht="15.75" thickBot="1" x14ac:dyDescent="0.25">
      <c r="A37" s="51">
        <f>'Raw ICP-OES Data'!A33</f>
        <v>0</v>
      </c>
      <c r="B37" s="108">
        <v>0.50129999999999997</v>
      </c>
      <c r="C37" s="46" t="str">
        <f>IF('Raw ICP-OES Data'!C33&lt;'ICP-OES Total Metals'!C$13,'ICP-OES Total Metals'!C$17,'Raw ICP-OES Data'!C33*50/'ICP-OES Total Metals'!$B37)</f>
        <v>&lt;3.326</v>
      </c>
      <c r="D37" s="46" t="str">
        <f>IF('Raw ICP-OES Data'!D33&lt;'ICP-OES Total Metals'!D$13,'ICP-OES Total Metals'!D$17,'Raw ICP-OES Data'!D33*50/'ICP-OES Total Metals'!$B37)</f>
        <v>&lt;5.82</v>
      </c>
      <c r="E37" s="46" t="str">
        <f>IF('Raw ICP-OES Data'!E33&lt;'ICP-OES Total Metals'!E$13,'ICP-OES Total Metals'!E$17,'Raw ICP-OES Data'!E33*50/'ICP-OES Total Metals'!$B37)</f>
        <v>&lt;3.97</v>
      </c>
      <c r="F37" s="46" t="str">
        <f>IF('Raw ICP-OES Data'!F33&lt;'ICP-OES Total Metals'!F$13,'ICP-OES Total Metals'!F$17,'Raw ICP-OES Data'!F33*50/'ICP-OES Total Metals'!$B37)</f>
        <v>&lt;14.698</v>
      </c>
      <c r="G37" s="46" t="str">
        <f>IF('Raw ICP-OES Data'!G33&lt;'ICP-OES Total Metals'!G$13,'ICP-OES Total Metals'!G$17,'Raw ICP-OES Data'!G33*50/'ICP-OES Total Metals'!$B37)</f>
        <v>&lt;0.217</v>
      </c>
      <c r="H37" s="46" t="str">
        <f>IF('Raw ICP-OES Data'!H33&lt;'ICP-OES Total Metals'!H$13,'ICP-OES Total Metals'!H$17,'Raw ICP-OES Data'!H33*50/'ICP-OES Total Metals'!$B37)</f>
        <v>&lt;0.2</v>
      </c>
      <c r="I37" s="46" t="str">
        <f>IF('Raw ICP-OES Data'!I33&lt;'ICP-OES Total Metals'!I$13,'ICP-OES Total Metals'!I$17,'Raw ICP-OES Data'!I33*50/'ICP-OES Total Metals'!$B37)</f>
        <v>&lt;4.358</v>
      </c>
      <c r="J37" s="46" t="str">
        <f>IF('Raw ICP-OES Data'!J33&lt;'ICP-OES Total Metals'!J$13,'ICP-OES Total Metals'!J$17,'Raw ICP-OES Data'!J33*50/'ICP-OES Total Metals'!$B37)</f>
        <v>&lt;0.3</v>
      </c>
      <c r="K37" s="46" t="str">
        <f>IF('Raw ICP-OES Data'!K33&lt;'ICP-OES Total Metals'!K$13,'ICP-OES Total Metals'!K$17,'Raw ICP-OES Data'!K33*50/'ICP-OES Total Metals'!$B37)</f>
        <v>&lt;0.527</v>
      </c>
      <c r="L37" s="46" t="str">
        <f>IF('Raw ICP-OES Data'!L33&lt;'ICP-OES Total Metals'!L$13,'ICP-OES Total Metals'!L$17,'Raw ICP-OES Data'!L33*50/'ICP-OES Total Metals'!$B37)</f>
        <v>&lt;0.43</v>
      </c>
      <c r="M37" s="46" t="str">
        <f>IF('Raw ICP-OES Data'!M33&lt;'ICP-OES Total Metals'!M$13,'ICP-OES Total Metals'!M$17,'Raw ICP-OES Data'!M33*50/'ICP-OES Total Metals'!$B37)</f>
        <v>&lt;1.129</v>
      </c>
      <c r="N37" s="46" t="str">
        <f>IF('Raw ICP-OES Data'!N33&lt;'ICP-OES Total Metals'!N$13,'ICP-OES Total Metals'!N$17,'Raw ICP-OES Data'!N33*50/'ICP-OES Total Metals'!$B37)</f>
        <v>&lt;1.81</v>
      </c>
      <c r="O37" s="46" t="str">
        <f>IF('Raw ICP-OES Data'!O33&lt;'ICP-OES Total Metals'!O$13,'ICP-OES Total Metals'!O$17,'Raw ICP-OES Data'!O33*50/'ICP-OES Total Metals'!$B37)</f>
        <v>&lt;62.4</v>
      </c>
      <c r="P37" s="46" t="str">
        <f>IF('Raw ICP-OES Data'!P33&lt;'ICP-OES Total Metals'!P$13,'ICP-OES Total Metals'!P$17,'Raw ICP-OES Data'!P33*50/'ICP-OES Total Metals'!$B37)</f>
        <v>&lt;1.866</v>
      </c>
      <c r="Q37" s="46" t="str">
        <f>IF('Raw ICP-OES Data'!Q33&lt;'ICP-OES Total Metals'!Q$13,'ICP-OES Total Metals'!Q$17,'Raw ICP-OES Data'!Q33*50/'ICP-OES Total Metals'!$B37)</f>
        <v>&lt;4.1</v>
      </c>
      <c r="R37" s="46" t="str">
        <f>IF('Raw ICP-OES Data'!R33&lt;'ICP-OES Total Metals'!R$13,'ICP-OES Total Metals'!R$17,'Raw ICP-OES Data'!R33*50/'ICP-OES Total Metals'!$B37)</f>
        <v>&lt;0.54</v>
      </c>
      <c r="S37" s="46" t="str">
        <f>IF('Raw ICP-OES Data'!S33&lt;'ICP-OES Total Metals'!S$13,'ICP-OES Total Metals'!S$17,'Raw ICP-OES Data'!S33*50/'ICP-OES Total Metals'!$B37)</f>
        <v>&lt;0.586</v>
      </c>
      <c r="T37" s="46" t="str">
        <f>IF('Raw ICP-OES Data'!T33&lt;'ICP-OES Total Metals'!T$13,'ICP-OES Total Metals'!T$17,'Raw ICP-OES Data'!T33*50/'ICP-OES Total Metals'!$B37)</f>
        <v>&lt;2.1</v>
      </c>
      <c r="U37" s="46" t="str">
        <f>IF('Raw ICP-OES Data'!U33&lt;'ICP-OES Total Metals'!U$13,'ICP-OES Total Metals'!U$17,'Raw ICP-OES Data'!U33*50/'ICP-OES Total Metals'!$B37)</f>
        <v>&lt;1.188</v>
      </c>
      <c r="V37" s="46" t="str">
        <f>IF('Raw ICP-OES Data'!V33&lt;'ICP-OES Total Metals'!V$13,'ICP-OES Total Metals'!V$17,'Raw ICP-OES Data'!V33*50/'ICP-OES Total Metals'!$B37)</f>
        <v>&lt;5.37</v>
      </c>
      <c r="W37" s="46" t="str">
        <f>IF('Raw ICP-OES Data'!W33&lt;'ICP-OES Total Metals'!W$13,'ICP-OES Total Metals'!W$17,'Raw ICP-OES Data'!W33*50/'ICP-OES Total Metals'!$B37)</f>
        <v>&lt;2.85</v>
      </c>
      <c r="X37" s="46" t="str">
        <f>IF('Raw ICP-OES Data'!X33&lt;'ICP-OES Total Metals'!X$13,'ICP-OES Total Metals'!X$17,'Raw ICP-OES Data'!X33*50/'ICP-OES Total Metals'!$B37)</f>
        <v>&lt;5.2</v>
      </c>
      <c r="Y37" s="46" t="str">
        <f>IF('Raw ICP-OES Data'!Y33&lt;'ICP-OES Total Metals'!Y$13,'ICP-OES Total Metals'!Y$17,'Raw ICP-OES Data'!Y33*50/'ICP-OES Total Metals'!$B37)</f>
        <v>&lt;5.73</v>
      </c>
      <c r="Z37" s="46" t="str">
        <f>IF('Raw ICP-OES Data'!Z33&lt;'ICP-OES Total Metals'!Z$13,'ICP-OES Total Metals'!Z$17,'Raw ICP-OES Data'!Z33*50/'ICP-OES Total Metals'!$B37)</f>
        <v>&lt;4.495</v>
      </c>
      <c r="AA37" s="46" t="str">
        <f>IF('Raw ICP-OES Data'!AA33&lt;'ICP-OES Total Metals'!AA$13,'ICP-OES Total Metals'!AA$17,'Raw ICP-OES Data'!AA33*50/'ICP-OES Total Metals'!$B37)</f>
        <v>&lt;3.4</v>
      </c>
      <c r="AB37" s="46" t="str">
        <f>IF('Raw ICP-OES Data'!AB33&lt;'ICP-OES Total Metals'!AB$13,'ICP-OES Total Metals'!AB$17,'Raw ICP-OES Data'!AB33*50/'ICP-OES Total Metals'!$B37)</f>
        <v>&lt;0.153</v>
      </c>
      <c r="AC37" s="46" t="str">
        <f>IF('Raw ICP-OES Data'!AC33&lt;'ICP-OES Total Metals'!AC$13,'ICP-OES Total Metals'!AC$17,'Raw ICP-OES Data'!AC33*50/'ICP-OES Total Metals'!$B37)</f>
        <v>&lt;0.217</v>
      </c>
      <c r="AD37" s="46" t="str">
        <f>IF('Raw ICP-OES Data'!AD33&lt;'ICP-OES Total Metals'!AD$13,'ICP-OES Total Metals'!AD$17,'Raw ICP-OES Data'!AD33*50/'ICP-OES Total Metals'!$B37)</f>
        <v>&lt;1.457</v>
      </c>
      <c r="AE37" s="46" t="str">
        <f>IF('Raw ICP-OES Data'!AE33&lt;'ICP-OES Total Metals'!AE$13,'ICP-OES Total Metals'!AE$17,'Raw ICP-OES Data'!AE33*50/'ICP-OES Total Metals'!$B37)</f>
        <v>&lt;0.307</v>
      </c>
    </row>
    <row r="38" spans="1:41" s="22" customFormat="1" ht="15.75" thickBot="1" x14ac:dyDescent="0.25">
      <c r="A38" s="51">
        <f>'Raw ICP-OES Data'!A34</f>
        <v>0</v>
      </c>
      <c r="B38" s="108">
        <v>0.4995</v>
      </c>
      <c r="C38" s="46" t="str">
        <f>IF('Raw ICP-OES Data'!C34&lt;'ICP-OES Total Metals'!C$13,'ICP-OES Total Metals'!C$17,'Raw ICP-OES Data'!C34*50/'ICP-OES Total Metals'!$B38)</f>
        <v>&lt;3.326</v>
      </c>
      <c r="D38" s="46" t="str">
        <f>IF('Raw ICP-OES Data'!D34&lt;'ICP-OES Total Metals'!D$13,'ICP-OES Total Metals'!D$17,'Raw ICP-OES Data'!D34*50/'ICP-OES Total Metals'!$B38)</f>
        <v>&lt;5.82</v>
      </c>
      <c r="E38" s="46" t="str">
        <f>IF('Raw ICP-OES Data'!E34&lt;'ICP-OES Total Metals'!E$13,'ICP-OES Total Metals'!E$17,'Raw ICP-OES Data'!E34*50/'ICP-OES Total Metals'!$B38)</f>
        <v>&lt;3.97</v>
      </c>
      <c r="F38" s="46" t="str">
        <f>IF('Raw ICP-OES Data'!F34&lt;'ICP-OES Total Metals'!F$13,'ICP-OES Total Metals'!F$17,'Raw ICP-OES Data'!F34*50/'ICP-OES Total Metals'!$B38)</f>
        <v>&lt;14.698</v>
      </c>
      <c r="G38" s="46" t="str">
        <f>IF('Raw ICP-OES Data'!G34&lt;'ICP-OES Total Metals'!G$13,'ICP-OES Total Metals'!G$17,'Raw ICP-OES Data'!G34*50/'ICP-OES Total Metals'!$B38)</f>
        <v>&lt;0.217</v>
      </c>
      <c r="H38" s="46" t="str">
        <f>IF('Raw ICP-OES Data'!H34&lt;'ICP-OES Total Metals'!H$13,'ICP-OES Total Metals'!H$17,'Raw ICP-OES Data'!H34*50/'ICP-OES Total Metals'!$B38)</f>
        <v>&lt;0.2</v>
      </c>
      <c r="I38" s="46" t="str">
        <f>IF('Raw ICP-OES Data'!I34&lt;'ICP-OES Total Metals'!I$13,'ICP-OES Total Metals'!I$17,'Raw ICP-OES Data'!I34*50/'ICP-OES Total Metals'!$B38)</f>
        <v>&lt;4.358</v>
      </c>
      <c r="J38" s="46" t="str">
        <f>IF('Raw ICP-OES Data'!J34&lt;'ICP-OES Total Metals'!J$13,'ICP-OES Total Metals'!J$17,'Raw ICP-OES Data'!J34*50/'ICP-OES Total Metals'!$B38)</f>
        <v>&lt;0.3</v>
      </c>
      <c r="K38" s="46" t="str">
        <f>IF('Raw ICP-OES Data'!K34&lt;'ICP-OES Total Metals'!K$13,'ICP-OES Total Metals'!K$17,'Raw ICP-OES Data'!K34*50/'ICP-OES Total Metals'!$B38)</f>
        <v>&lt;0.527</v>
      </c>
      <c r="L38" s="46" t="str">
        <f>IF('Raw ICP-OES Data'!L34&lt;'ICP-OES Total Metals'!L$13,'ICP-OES Total Metals'!L$17,'Raw ICP-OES Data'!L34*50/'ICP-OES Total Metals'!$B38)</f>
        <v>&lt;0.43</v>
      </c>
      <c r="M38" s="46" t="str">
        <f>IF('Raw ICP-OES Data'!M34&lt;'ICP-OES Total Metals'!M$13,'ICP-OES Total Metals'!M$17,'Raw ICP-OES Data'!M34*50/'ICP-OES Total Metals'!$B38)</f>
        <v>&lt;1.129</v>
      </c>
      <c r="N38" s="46" t="str">
        <f>IF('Raw ICP-OES Data'!N34&lt;'ICP-OES Total Metals'!N$13,'ICP-OES Total Metals'!N$17,'Raw ICP-OES Data'!N34*50/'ICP-OES Total Metals'!$B38)</f>
        <v>&lt;1.81</v>
      </c>
      <c r="O38" s="46" t="str">
        <f>IF('Raw ICP-OES Data'!O34&lt;'ICP-OES Total Metals'!O$13,'ICP-OES Total Metals'!O$17,'Raw ICP-OES Data'!O34*50/'ICP-OES Total Metals'!$B38)</f>
        <v>&lt;62.4</v>
      </c>
      <c r="P38" s="46" t="str">
        <f>IF('Raw ICP-OES Data'!P34&lt;'ICP-OES Total Metals'!P$13,'ICP-OES Total Metals'!P$17,'Raw ICP-OES Data'!P34*50/'ICP-OES Total Metals'!$B38)</f>
        <v>&lt;1.866</v>
      </c>
      <c r="Q38" s="46" t="str">
        <f>IF('Raw ICP-OES Data'!Q34&lt;'ICP-OES Total Metals'!Q$13,'ICP-OES Total Metals'!Q$17,'Raw ICP-OES Data'!Q34*50/'ICP-OES Total Metals'!$B38)</f>
        <v>&lt;4.1</v>
      </c>
      <c r="R38" s="46" t="str">
        <f>IF('Raw ICP-OES Data'!R34&lt;'ICP-OES Total Metals'!R$13,'ICP-OES Total Metals'!R$17,'Raw ICP-OES Data'!R34*50/'ICP-OES Total Metals'!$B38)</f>
        <v>&lt;0.54</v>
      </c>
      <c r="S38" s="46" t="str">
        <f>IF('Raw ICP-OES Data'!S34&lt;'ICP-OES Total Metals'!S$13,'ICP-OES Total Metals'!S$17,'Raw ICP-OES Data'!S34*50/'ICP-OES Total Metals'!$B38)</f>
        <v>&lt;0.586</v>
      </c>
      <c r="T38" s="46" t="str">
        <f>IF('Raw ICP-OES Data'!T34&lt;'ICP-OES Total Metals'!T$13,'ICP-OES Total Metals'!T$17,'Raw ICP-OES Data'!T34*50/'ICP-OES Total Metals'!$B38)</f>
        <v>&lt;2.1</v>
      </c>
      <c r="U38" s="46" t="str">
        <f>IF('Raw ICP-OES Data'!U34&lt;'ICP-OES Total Metals'!U$13,'ICP-OES Total Metals'!U$17,'Raw ICP-OES Data'!U34*50/'ICP-OES Total Metals'!$B38)</f>
        <v>&lt;1.188</v>
      </c>
      <c r="V38" s="46" t="str">
        <f>IF('Raw ICP-OES Data'!V34&lt;'ICP-OES Total Metals'!V$13,'ICP-OES Total Metals'!V$17,'Raw ICP-OES Data'!V34*50/'ICP-OES Total Metals'!$B38)</f>
        <v>&lt;5.37</v>
      </c>
      <c r="W38" s="46" t="str">
        <f>IF('Raw ICP-OES Data'!W34&lt;'ICP-OES Total Metals'!W$13,'ICP-OES Total Metals'!W$17,'Raw ICP-OES Data'!W34*50/'ICP-OES Total Metals'!$B38)</f>
        <v>&lt;2.85</v>
      </c>
      <c r="X38" s="46" t="str">
        <f>IF('Raw ICP-OES Data'!X34&lt;'ICP-OES Total Metals'!X$13,'ICP-OES Total Metals'!X$17,'Raw ICP-OES Data'!X34*50/'ICP-OES Total Metals'!$B38)</f>
        <v>&lt;5.2</v>
      </c>
      <c r="Y38" s="46" t="str">
        <f>IF('Raw ICP-OES Data'!Y34&lt;'ICP-OES Total Metals'!Y$13,'ICP-OES Total Metals'!Y$17,'Raw ICP-OES Data'!Y34*50/'ICP-OES Total Metals'!$B38)</f>
        <v>&lt;5.73</v>
      </c>
      <c r="Z38" s="46" t="str">
        <f>IF('Raw ICP-OES Data'!Z34&lt;'ICP-OES Total Metals'!Z$13,'ICP-OES Total Metals'!Z$17,'Raw ICP-OES Data'!Z34*50/'ICP-OES Total Metals'!$B38)</f>
        <v>&lt;4.495</v>
      </c>
      <c r="AA38" s="46" t="str">
        <f>IF('Raw ICP-OES Data'!AA34&lt;'ICP-OES Total Metals'!AA$13,'ICP-OES Total Metals'!AA$17,'Raw ICP-OES Data'!AA34*50/'ICP-OES Total Metals'!$B38)</f>
        <v>&lt;3.4</v>
      </c>
      <c r="AB38" s="46" t="str">
        <f>IF('Raw ICP-OES Data'!AB34&lt;'ICP-OES Total Metals'!AB$13,'ICP-OES Total Metals'!AB$17,'Raw ICP-OES Data'!AB34*50/'ICP-OES Total Metals'!$B38)</f>
        <v>&lt;0.153</v>
      </c>
      <c r="AC38" s="46" t="str">
        <f>IF('Raw ICP-OES Data'!AC34&lt;'ICP-OES Total Metals'!AC$13,'ICP-OES Total Metals'!AC$17,'Raw ICP-OES Data'!AC34*50/'ICP-OES Total Metals'!$B38)</f>
        <v>&lt;0.217</v>
      </c>
      <c r="AD38" s="46" t="str">
        <f>IF('Raw ICP-OES Data'!AD34&lt;'ICP-OES Total Metals'!AD$13,'ICP-OES Total Metals'!AD$17,'Raw ICP-OES Data'!AD34*50/'ICP-OES Total Metals'!$B38)</f>
        <v>&lt;1.457</v>
      </c>
      <c r="AE38" s="46" t="str">
        <f>IF('Raw ICP-OES Data'!AE34&lt;'ICP-OES Total Metals'!AE$13,'ICP-OES Total Metals'!AE$17,'Raw ICP-OES Data'!AE34*50/'ICP-OES Total Metals'!$B38)</f>
        <v>&lt;0.307</v>
      </c>
    </row>
    <row r="39" spans="1:41" ht="15.75" thickBot="1" x14ac:dyDescent="0.3">
      <c r="A39" s="51">
        <f>'Raw ICP-OES Data'!A35</f>
        <v>0</v>
      </c>
      <c r="B39" s="108">
        <v>0.49990000000000001</v>
      </c>
      <c r="C39" s="46" t="str">
        <f>IF('Raw ICP-OES Data'!C35&lt;'ICP-OES Total Metals'!C$13,'ICP-OES Total Metals'!C$17,'Raw ICP-OES Data'!C35*50/'ICP-OES Total Metals'!$B39)</f>
        <v>&lt;3.326</v>
      </c>
      <c r="D39" s="46" t="str">
        <f>IF('Raw ICP-OES Data'!D35&lt;'ICP-OES Total Metals'!D$13,'ICP-OES Total Metals'!D$17,'Raw ICP-OES Data'!D35*50/'ICP-OES Total Metals'!$B39)</f>
        <v>&lt;5.82</v>
      </c>
      <c r="E39" s="46" t="str">
        <f>IF('Raw ICP-OES Data'!E35&lt;'ICP-OES Total Metals'!E$13,'ICP-OES Total Metals'!E$17,'Raw ICP-OES Data'!E35*50/'ICP-OES Total Metals'!$B39)</f>
        <v>&lt;3.97</v>
      </c>
      <c r="F39" s="46" t="str">
        <f>IF('Raw ICP-OES Data'!F35&lt;'ICP-OES Total Metals'!F$13,'ICP-OES Total Metals'!F$17,'Raw ICP-OES Data'!F35*50/'ICP-OES Total Metals'!$B39)</f>
        <v>&lt;14.698</v>
      </c>
      <c r="G39" s="46" t="str">
        <f>IF('Raw ICP-OES Data'!G35&lt;'ICP-OES Total Metals'!G$13,'ICP-OES Total Metals'!G$17,'Raw ICP-OES Data'!G35*50/'ICP-OES Total Metals'!$B39)</f>
        <v>&lt;0.217</v>
      </c>
      <c r="H39" s="46" t="str">
        <f>IF('Raw ICP-OES Data'!H35&lt;'ICP-OES Total Metals'!H$13,'ICP-OES Total Metals'!H$17,'Raw ICP-OES Data'!H35*50/'ICP-OES Total Metals'!$B39)</f>
        <v>&lt;0.2</v>
      </c>
      <c r="I39" s="46" t="str">
        <f>IF('Raw ICP-OES Data'!I35&lt;'ICP-OES Total Metals'!I$13,'ICP-OES Total Metals'!I$17,'Raw ICP-OES Data'!I35*50/'ICP-OES Total Metals'!$B39)</f>
        <v>&lt;4.358</v>
      </c>
      <c r="J39" s="46" t="str">
        <f>IF('Raw ICP-OES Data'!J35&lt;'ICP-OES Total Metals'!J$13,'ICP-OES Total Metals'!J$17,'Raw ICP-OES Data'!J35*50/'ICP-OES Total Metals'!$B39)</f>
        <v>&lt;0.3</v>
      </c>
      <c r="K39" s="46" t="str">
        <f>IF('Raw ICP-OES Data'!K35&lt;'ICP-OES Total Metals'!K$13,'ICP-OES Total Metals'!K$17,'Raw ICP-OES Data'!K35*50/'ICP-OES Total Metals'!$B39)</f>
        <v>&lt;0.527</v>
      </c>
      <c r="L39" s="46" t="str">
        <f>IF('Raw ICP-OES Data'!L35&lt;'ICP-OES Total Metals'!L$13,'ICP-OES Total Metals'!L$17,'Raw ICP-OES Data'!L35*50/'ICP-OES Total Metals'!$B39)</f>
        <v>&lt;0.43</v>
      </c>
      <c r="M39" s="46" t="str">
        <f>IF('Raw ICP-OES Data'!M35&lt;'ICP-OES Total Metals'!M$13,'ICP-OES Total Metals'!M$17,'Raw ICP-OES Data'!M35*50/'ICP-OES Total Metals'!$B39)</f>
        <v>&lt;1.129</v>
      </c>
      <c r="N39" s="46" t="str">
        <f>IF('Raw ICP-OES Data'!N35&lt;'ICP-OES Total Metals'!N$13,'ICP-OES Total Metals'!N$17,'Raw ICP-OES Data'!N35*50/'ICP-OES Total Metals'!$B39)</f>
        <v>&lt;1.81</v>
      </c>
      <c r="O39" s="46" t="str">
        <f>IF('Raw ICP-OES Data'!O35&lt;'ICP-OES Total Metals'!O$13,'ICP-OES Total Metals'!O$17,'Raw ICP-OES Data'!O35*50/'ICP-OES Total Metals'!$B39)</f>
        <v>&lt;62.4</v>
      </c>
      <c r="P39" s="46" t="str">
        <f>IF('Raw ICP-OES Data'!P35&lt;'ICP-OES Total Metals'!P$13,'ICP-OES Total Metals'!P$17,'Raw ICP-OES Data'!P35*50/'ICP-OES Total Metals'!$B39)</f>
        <v>&lt;1.866</v>
      </c>
      <c r="Q39" s="46" t="str">
        <f>IF('Raw ICP-OES Data'!Q35&lt;'ICP-OES Total Metals'!Q$13,'ICP-OES Total Metals'!Q$17,'Raw ICP-OES Data'!Q35*50/'ICP-OES Total Metals'!$B39)</f>
        <v>&lt;4.1</v>
      </c>
      <c r="R39" s="46" t="str">
        <f>IF('Raw ICP-OES Data'!R35&lt;'ICP-OES Total Metals'!R$13,'ICP-OES Total Metals'!R$17,'Raw ICP-OES Data'!R35*50/'ICP-OES Total Metals'!$B39)</f>
        <v>&lt;0.54</v>
      </c>
      <c r="S39" s="46" t="str">
        <f>IF('Raw ICP-OES Data'!S35&lt;'ICP-OES Total Metals'!S$13,'ICP-OES Total Metals'!S$17,'Raw ICP-OES Data'!S35*50/'ICP-OES Total Metals'!$B39)</f>
        <v>&lt;0.586</v>
      </c>
      <c r="T39" s="46" t="str">
        <f>IF('Raw ICP-OES Data'!T35&lt;'ICP-OES Total Metals'!T$13,'ICP-OES Total Metals'!T$17,'Raw ICP-OES Data'!T35*50/'ICP-OES Total Metals'!$B39)</f>
        <v>&lt;2.1</v>
      </c>
      <c r="U39" s="46" t="str">
        <f>IF('Raw ICP-OES Data'!U35&lt;'ICP-OES Total Metals'!U$13,'ICP-OES Total Metals'!U$17,'Raw ICP-OES Data'!U35*50/'ICP-OES Total Metals'!$B39)</f>
        <v>&lt;1.188</v>
      </c>
      <c r="V39" s="46" t="str">
        <f>IF('Raw ICP-OES Data'!V35&lt;'ICP-OES Total Metals'!V$13,'ICP-OES Total Metals'!V$17,'Raw ICP-OES Data'!V35*50/'ICP-OES Total Metals'!$B39)</f>
        <v>&lt;5.37</v>
      </c>
      <c r="W39" s="46" t="str">
        <f>IF('Raw ICP-OES Data'!W35&lt;'ICP-OES Total Metals'!W$13,'ICP-OES Total Metals'!W$17,'Raw ICP-OES Data'!W35*50/'ICP-OES Total Metals'!$B39)</f>
        <v>&lt;2.85</v>
      </c>
      <c r="X39" s="46" t="str">
        <f>IF('Raw ICP-OES Data'!X35&lt;'ICP-OES Total Metals'!X$13,'ICP-OES Total Metals'!X$17,'Raw ICP-OES Data'!X35*50/'ICP-OES Total Metals'!$B39)</f>
        <v>&lt;5.2</v>
      </c>
      <c r="Y39" s="46" t="str">
        <f>IF('Raw ICP-OES Data'!Y35&lt;'ICP-OES Total Metals'!Y$13,'ICP-OES Total Metals'!Y$17,'Raw ICP-OES Data'!Y35*50/'ICP-OES Total Metals'!$B39)</f>
        <v>&lt;5.73</v>
      </c>
      <c r="Z39" s="46" t="str">
        <f>IF('Raw ICP-OES Data'!Z35&lt;'ICP-OES Total Metals'!Z$13,'ICP-OES Total Metals'!Z$17,'Raw ICP-OES Data'!Z35*50/'ICP-OES Total Metals'!$B39)</f>
        <v>&lt;4.495</v>
      </c>
      <c r="AA39" s="46" t="str">
        <f>IF('Raw ICP-OES Data'!AA35&lt;'ICP-OES Total Metals'!AA$13,'ICP-OES Total Metals'!AA$17,'Raw ICP-OES Data'!AA35*50/'ICP-OES Total Metals'!$B39)</f>
        <v>&lt;3.4</v>
      </c>
      <c r="AB39" s="46" t="str">
        <f>IF('Raw ICP-OES Data'!AB35&lt;'ICP-OES Total Metals'!AB$13,'ICP-OES Total Metals'!AB$17,'Raw ICP-OES Data'!AB35*50/'ICP-OES Total Metals'!$B39)</f>
        <v>&lt;0.153</v>
      </c>
      <c r="AC39" s="46" t="str">
        <f>IF('Raw ICP-OES Data'!AC35&lt;'ICP-OES Total Metals'!AC$13,'ICP-OES Total Metals'!AC$17,'Raw ICP-OES Data'!AC35*50/'ICP-OES Total Metals'!$B39)</f>
        <v>&lt;0.217</v>
      </c>
      <c r="AD39" s="46" t="str">
        <f>IF('Raw ICP-OES Data'!AD35&lt;'ICP-OES Total Metals'!AD$13,'ICP-OES Total Metals'!AD$17,'Raw ICP-OES Data'!AD35*50/'ICP-OES Total Metals'!$B39)</f>
        <v>&lt;1.457</v>
      </c>
      <c r="AE39" s="46" t="str">
        <f>IF('Raw ICP-OES Data'!AE35&lt;'ICP-OES Total Metals'!AE$13,'ICP-OES Total Metals'!AE$17,'Raw ICP-OES Data'!AE35*50/'ICP-OES Total Metals'!$B39)</f>
        <v>&lt;0.307</v>
      </c>
    </row>
    <row r="40" spans="1:41" s="11" customFormat="1" ht="14.25" customHeight="1" thickBot="1" x14ac:dyDescent="0.3">
      <c r="A40" s="51">
        <f>'Raw ICP-OES Data'!A36</f>
        <v>0</v>
      </c>
      <c r="B40" s="108">
        <v>0.49980000000000002</v>
      </c>
      <c r="C40" s="46" t="str">
        <f>IF('Raw ICP-OES Data'!C36&lt;'ICP-OES Total Metals'!C$13,'ICP-OES Total Metals'!C$17,'Raw ICP-OES Data'!C36*50/'ICP-OES Total Metals'!$B40)</f>
        <v>&lt;3.326</v>
      </c>
      <c r="D40" s="46" t="str">
        <f>IF('Raw ICP-OES Data'!D36&lt;'ICP-OES Total Metals'!D$13,'ICP-OES Total Metals'!D$17,'Raw ICP-OES Data'!D36*50/'ICP-OES Total Metals'!$B40)</f>
        <v>&lt;5.82</v>
      </c>
      <c r="E40" s="46" t="str">
        <f>IF('Raw ICP-OES Data'!E36&lt;'ICP-OES Total Metals'!E$13,'ICP-OES Total Metals'!E$17,'Raw ICP-OES Data'!E36*50/'ICP-OES Total Metals'!$B40)</f>
        <v>&lt;3.97</v>
      </c>
      <c r="F40" s="46" t="str">
        <f>IF('Raw ICP-OES Data'!F36&lt;'ICP-OES Total Metals'!F$13,'ICP-OES Total Metals'!F$17,'Raw ICP-OES Data'!F36*50/'ICP-OES Total Metals'!$B40)</f>
        <v>&lt;14.698</v>
      </c>
      <c r="G40" s="46" t="str">
        <f>IF('Raw ICP-OES Data'!G36&lt;'ICP-OES Total Metals'!G$13,'ICP-OES Total Metals'!G$17,'Raw ICP-OES Data'!G36*50/'ICP-OES Total Metals'!$B40)</f>
        <v>&lt;0.217</v>
      </c>
      <c r="H40" s="46" t="str">
        <f>IF('Raw ICP-OES Data'!H36&lt;'ICP-OES Total Metals'!H$13,'ICP-OES Total Metals'!H$17,'Raw ICP-OES Data'!H36*50/'ICP-OES Total Metals'!$B40)</f>
        <v>&lt;0.2</v>
      </c>
      <c r="I40" s="46" t="str">
        <f>IF('Raw ICP-OES Data'!I36&lt;'ICP-OES Total Metals'!I$13,'ICP-OES Total Metals'!I$17,'Raw ICP-OES Data'!I36*50/'ICP-OES Total Metals'!$B40)</f>
        <v>&lt;4.358</v>
      </c>
      <c r="J40" s="46" t="str">
        <f>IF('Raw ICP-OES Data'!J36&lt;'ICP-OES Total Metals'!J$13,'ICP-OES Total Metals'!J$17,'Raw ICP-OES Data'!J36*50/'ICP-OES Total Metals'!$B40)</f>
        <v>&lt;0.3</v>
      </c>
      <c r="K40" s="46" t="str">
        <f>IF('Raw ICP-OES Data'!K36&lt;'ICP-OES Total Metals'!K$13,'ICP-OES Total Metals'!K$17,'Raw ICP-OES Data'!K36*50/'ICP-OES Total Metals'!$B40)</f>
        <v>&lt;0.527</v>
      </c>
      <c r="L40" s="46" t="str">
        <f>IF('Raw ICP-OES Data'!L36&lt;'ICP-OES Total Metals'!L$13,'ICP-OES Total Metals'!L$17,'Raw ICP-OES Data'!L36*50/'ICP-OES Total Metals'!$B40)</f>
        <v>&lt;0.43</v>
      </c>
      <c r="M40" s="46" t="str">
        <f>IF('Raw ICP-OES Data'!M36&lt;'ICP-OES Total Metals'!M$13,'ICP-OES Total Metals'!M$17,'Raw ICP-OES Data'!M36*50/'ICP-OES Total Metals'!$B40)</f>
        <v>&lt;1.129</v>
      </c>
      <c r="N40" s="46" t="str">
        <f>IF('Raw ICP-OES Data'!N36&lt;'ICP-OES Total Metals'!N$13,'ICP-OES Total Metals'!N$17,'Raw ICP-OES Data'!N36*50/'ICP-OES Total Metals'!$B40)</f>
        <v>&lt;1.81</v>
      </c>
      <c r="O40" s="46" t="str">
        <f>IF('Raw ICP-OES Data'!O36&lt;'ICP-OES Total Metals'!O$13,'ICP-OES Total Metals'!O$17,'Raw ICP-OES Data'!O36*50/'ICP-OES Total Metals'!$B40)</f>
        <v>&lt;62.4</v>
      </c>
      <c r="P40" s="46" t="str">
        <f>IF('Raw ICP-OES Data'!P36&lt;'ICP-OES Total Metals'!P$13,'ICP-OES Total Metals'!P$17,'Raw ICP-OES Data'!P36*50/'ICP-OES Total Metals'!$B40)</f>
        <v>&lt;1.866</v>
      </c>
      <c r="Q40" s="46" t="str">
        <f>IF('Raw ICP-OES Data'!Q36&lt;'ICP-OES Total Metals'!Q$13,'ICP-OES Total Metals'!Q$17,'Raw ICP-OES Data'!Q36*50/'ICP-OES Total Metals'!$B40)</f>
        <v>&lt;4.1</v>
      </c>
      <c r="R40" s="46" t="str">
        <f>IF('Raw ICP-OES Data'!R36&lt;'ICP-OES Total Metals'!R$13,'ICP-OES Total Metals'!R$17,'Raw ICP-OES Data'!R36*50/'ICP-OES Total Metals'!$B40)</f>
        <v>&lt;0.54</v>
      </c>
      <c r="S40" s="46" t="str">
        <f>IF('Raw ICP-OES Data'!S36&lt;'ICP-OES Total Metals'!S$13,'ICP-OES Total Metals'!S$17,'Raw ICP-OES Data'!S36*50/'ICP-OES Total Metals'!$B40)</f>
        <v>&lt;0.586</v>
      </c>
      <c r="T40" s="46" t="str">
        <f>IF('Raw ICP-OES Data'!T36&lt;'ICP-OES Total Metals'!T$13,'ICP-OES Total Metals'!T$17,'Raw ICP-OES Data'!T36*50/'ICP-OES Total Metals'!$B40)</f>
        <v>&lt;2.1</v>
      </c>
      <c r="U40" s="46" t="str">
        <f>IF('Raw ICP-OES Data'!U36&lt;'ICP-OES Total Metals'!U$13,'ICP-OES Total Metals'!U$17,'Raw ICP-OES Data'!U36*50/'ICP-OES Total Metals'!$B40)</f>
        <v>&lt;1.188</v>
      </c>
      <c r="V40" s="46" t="str">
        <f>IF('Raw ICP-OES Data'!V36&lt;'ICP-OES Total Metals'!V$13,'ICP-OES Total Metals'!V$17,'Raw ICP-OES Data'!V36*50/'ICP-OES Total Metals'!$B40)</f>
        <v>&lt;5.37</v>
      </c>
      <c r="W40" s="46" t="str">
        <f>IF('Raw ICP-OES Data'!W36&lt;'ICP-OES Total Metals'!W$13,'ICP-OES Total Metals'!W$17,'Raw ICP-OES Data'!W36*50/'ICP-OES Total Metals'!$B40)</f>
        <v>&lt;2.85</v>
      </c>
      <c r="X40" s="46" t="str">
        <f>IF('Raw ICP-OES Data'!X36&lt;'ICP-OES Total Metals'!X$13,'ICP-OES Total Metals'!X$17,'Raw ICP-OES Data'!X36*50/'ICP-OES Total Metals'!$B40)</f>
        <v>&lt;5.2</v>
      </c>
      <c r="Y40" s="46" t="str">
        <f>IF('Raw ICP-OES Data'!Y36&lt;'ICP-OES Total Metals'!Y$13,'ICP-OES Total Metals'!Y$17,'Raw ICP-OES Data'!Y36*50/'ICP-OES Total Metals'!$B40)</f>
        <v>&lt;5.73</v>
      </c>
      <c r="Z40" s="46" t="str">
        <f>IF('Raw ICP-OES Data'!Z36&lt;'ICP-OES Total Metals'!Z$13,'ICP-OES Total Metals'!Z$17,'Raw ICP-OES Data'!Z36*50/'ICP-OES Total Metals'!$B40)</f>
        <v>&lt;4.495</v>
      </c>
      <c r="AA40" s="46" t="str">
        <f>IF('Raw ICP-OES Data'!AA36&lt;'ICP-OES Total Metals'!AA$13,'ICP-OES Total Metals'!AA$17,'Raw ICP-OES Data'!AA36*50/'ICP-OES Total Metals'!$B40)</f>
        <v>&lt;3.4</v>
      </c>
      <c r="AB40" s="46" t="str">
        <f>IF('Raw ICP-OES Data'!AB36&lt;'ICP-OES Total Metals'!AB$13,'ICP-OES Total Metals'!AB$17,'Raw ICP-OES Data'!AB36*50/'ICP-OES Total Metals'!$B40)</f>
        <v>&lt;0.153</v>
      </c>
      <c r="AC40" s="46" t="str">
        <f>IF('Raw ICP-OES Data'!AC36&lt;'ICP-OES Total Metals'!AC$13,'ICP-OES Total Metals'!AC$17,'Raw ICP-OES Data'!AC36*50/'ICP-OES Total Metals'!$B40)</f>
        <v>&lt;0.217</v>
      </c>
      <c r="AD40" s="46" t="str">
        <f>IF('Raw ICP-OES Data'!AD36&lt;'ICP-OES Total Metals'!AD$13,'ICP-OES Total Metals'!AD$17,'Raw ICP-OES Data'!AD36*50/'ICP-OES Total Metals'!$B40)</f>
        <v>&lt;1.457</v>
      </c>
      <c r="AE40" s="46" t="str">
        <f>IF('Raw ICP-OES Data'!AE36&lt;'ICP-OES Total Metals'!AE$13,'ICP-OES Total Metals'!AE$17,'Raw ICP-OES Data'!AE36*50/'ICP-OES Total Metals'!$B40)</f>
        <v>&lt;0.307</v>
      </c>
      <c r="AF40"/>
      <c r="AG40"/>
      <c r="AH40"/>
      <c r="AI40"/>
      <c r="AJ40"/>
      <c r="AK40"/>
      <c r="AL40"/>
      <c r="AM40"/>
      <c r="AN40"/>
      <c r="AO40"/>
    </row>
    <row r="41" spans="1:41" s="22" customFormat="1" ht="15.75" thickBot="1" x14ac:dyDescent="0.25">
      <c r="A41" s="51">
        <f>'Raw ICP-OES Data'!A37</f>
        <v>0</v>
      </c>
      <c r="B41" s="108">
        <v>0.501</v>
      </c>
      <c r="C41" s="46" t="str">
        <f>IF('Raw ICP-OES Data'!C37&lt;'ICP-OES Total Metals'!C$13,'ICP-OES Total Metals'!C$17,'Raw ICP-OES Data'!C37*50/'ICP-OES Total Metals'!$B41)</f>
        <v>&lt;3.326</v>
      </c>
      <c r="D41" s="46" t="str">
        <f>IF('Raw ICP-OES Data'!D37&lt;'ICP-OES Total Metals'!D$13,'ICP-OES Total Metals'!D$17,'Raw ICP-OES Data'!D37*50/'ICP-OES Total Metals'!$B41)</f>
        <v>&lt;5.82</v>
      </c>
      <c r="E41" s="46" t="str">
        <f>IF('Raw ICP-OES Data'!E37&lt;'ICP-OES Total Metals'!E$13,'ICP-OES Total Metals'!E$17,'Raw ICP-OES Data'!E37*50/'ICP-OES Total Metals'!$B41)</f>
        <v>&lt;3.97</v>
      </c>
      <c r="F41" s="46" t="str">
        <f>IF('Raw ICP-OES Data'!F37&lt;'ICP-OES Total Metals'!F$13,'ICP-OES Total Metals'!F$17,'Raw ICP-OES Data'!F37*50/'ICP-OES Total Metals'!$B41)</f>
        <v>&lt;14.698</v>
      </c>
      <c r="G41" s="46" t="str">
        <f>IF('Raw ICP-OES Data'!G37&lt;'ICP-OES Total Metals'!G$13,'ICP-OES Total Metals'!G$17,'Raw ICP-OES Data'!G37*50/'ICP-OES Total Metals'!$B41)</f>
        <v>&lt;0.217</v>
      </c>
      <c r="H41" s="46" t="str">
        <f>IF('Raw ICP-OES Data'!H37&lt;'ICP-OES Total Metals'!H$13,'ICP-OES Total Metals'!H$17,'Raw ICP-OES Data'!H37*50/'ICP-OES Total Metals'!$B41)</f>
        <v>&lt;0.2</v>
      </c>
      <c r="I41" s="46" t="str">
        <f>IF('Raw ICP-OES Data'!I37&lt;'ICP-OES Total Metals'!I$13,'ICP-OES Total Metals'!I$17,'Raw ICP-OES Data'!I37*50/'ICP-OES Total Metals'!$B41)</f>
        <v>&lt;4.358</v>
      </c>
      <c r="J41" s="46" t="str">
        <f>IF('Raw ICP-OES Data'!J37&lt;'ICP-OES Total Metals'!J$13,'ICP-OES Total Metals'!J$17,'Raw ICP-OES Data'!J37*50/'ICP-OES Total Metals'!$B41)</f>
        <v>&lt;0.3</v>
      </c>
      <c r="K41" s="46" t="str">
        <f>IF('Raw ICP-OES Data'!K37&lt;'ICP-OES Total Metals'!K$13,'ICP-OES Total Metals'!K$17,'Raw ICP-OES Data'!K37*50/'ICP-OES Total Metals'!$B41)</f>
        <v>&lt;0.527</v>
      </c>
      <c r="L41" s="46" t="str">
        <f>IF('Raw ICP-OES Data'!L37&lt;'ICP-OES Total Metals'!L$13,'ICP-OES Total Metals'!L$17,'Raw ICP-OES Data'!L37*50/'ICP-OES Total Metals'!$B41)</f>
        <v>&lt;0.43</v>
      </c>
      <c r="M41" s="46" t="str">
        <f>IF('Raw ICP-OES Data'!M37&lt;'ICP-OES Total Metals'!M$13,'ICP-OES Total Metals'!M$17,'Raw ICP-OES Data'!M37*50/'ICP-OES Total Metals'!$B41)</f>
        <v>&lt;1.129</v>
      </c>
      <c r="N41" s="46" t="str">
        <f>IF('Raw ICP-OES Data'!N37&lt;'ICP-OES Total Metals'!N$13,'ICP-OES Total Metals'!N$17,'Raw ICP-OES Data'!N37*50/'ICP-OES Total Metals'!$B41)</f>
        <v>&lt;1.81</v>
      </c>
      <c r="O41" s="46" t="str">
        <f>IF('Raw ICP-OES Data'!O37&lt;'ICP-OES Total Metals'!O$13,'ICP-OES Total Metals'!O$17,'Raw ICP-OES Data'!O37*50/'ICP-OES Total Metals'!$B41)</f>
        <v>&lt;62.4</v>
      </c>
      <c r="P41" s="46" t="str">
        <f>IF('Raw ICP-OES Data'!P37&lt;'ICP-OES Total Metals'!P$13,'ICP-OES Total Metals'!P$17,'Raw ICP-OES Data'!P37*50/'ICP-OES Total Metals'!$B41)</f>
        <v>&lt;1.866</v>
      </c>
      <c r="Q41" s="46" t="str">
        <f>IF('Raw ICP-OES Data'!Q37&lt;'ICP-OES Total Metals'!Q$13,'ICP-OES Total Metals'!Q$17,'Raw ICP-OES Data'!Q37*50/'ICP-OES Total Metals'!$B41)</f>
        <v>&lt;4.1</v>
      </c>
      <c r="R41" s="46" t="str">
        <f>IF('Raw ICP-OES Data'!R37&lt;'ICP-OES Total Metals'!R$13,'ICP-OES Total Metals'!R$17,'Raw ICP-OES Data'!R37*50/'ICP-OES Total Metals'!$B41)</f>
        <v>&lt;0.54</v>
      </c>
      <c r="S41" s="46" t="str">
        <f>IF('Raw ICP-OES Data'!S37&lt;'ICP-OES Total Metals'!S$13,'ICP-OES Total Metals'!S$17,'Raw ICP-OES Data'!S37*50/'ICP-OES Total Metals'!$B41)</f>
        <v>&lt;0.586</v>
      </c>
      <c r="T41" s="46" t="str">
        <f>IF('Raw ICP-OES Data'!T37&lt;'ICP-OES Total Metals'!T$13,'ICP-OES Total Metals'!T$17,'Raw ICP-OES Data'!T37*50/'ICP-OES Total Metals'!$B41)</f>
        <v>&lt;2.1</v>
      </c>
      <c r="U41" s="46" t="str">
        <f>IF('Raw ICP-OES Data'!U37&lt;'ICP-OES Total Metals'!U$13,'ICP-OES Total Metals'!U$17,'Raw ICP-OES Data'!U37*50/'ICP-OES Total Metals'!$B41)</f>
        <v>&lt;1.188</v>
      </c>
      <c r="V41" s="46" t="str">
        <f>IF('Raw ICP-OES Data'!V37&lt;'ICP-OES Total Metals'!V$13,'ICP-OES Total Metals'!V$17,'Raw ICP-OES Data'!V37*50/'ICP-OES Total Metals'!$B41)</f>
        <v>&lt;5.37</v>
      </c>
      <c r="W41" s="46" t="str">
        <f>IF('Raw ICP-OES Data'!W37&lt;'ICP-OES Total Metals'!W$13,'ICP-OES Total Metals'!W$17,'Raw ICP-OES Data'!W37*50/'ICP-OES Total Metals'!$B41)</f>
        <v>&lt;2.85</v>
      </c>
      <c r="X41" s="46" t="str">
        <f>IF('Raw ICP-OES Data'!X37&lt;'ICP-OES Total Metals'!X$13,'ICP-OES Total Metals'!X$17,'Raw ICP-OES Data'!X37*50/'ICP-OES Total Metals'!$B41)</f>
        <v>&lt;5.2</v>
      </c>
      <c r="Y41" s="46" t="str">
        <f>IF('Raw ICP-OES Data'!Y37&lt;'ICP-OES Total Metals'!Y$13,'ICP-OES Total Metals'!Y$17,'Raw ICP-OES Data'!Y37*50/'ICP-OES Total Metals'!$B41)</f>
        <v>&lt;5.73</v>
      </c>
      <c r="Z41" s="46" t="str">
        <f>IF('Raw ICP-OES Data'!Z37&lt;'ICP-OES Total Metals'!Z$13,'ICP-OES Total Metals'!Z$17,'Raw ICP-OES Data'!Z37*50/'ICP-OES Total Metals'!$B41)</f>
        <v>&lt;4.495</v>
      </c>
      <c r="AA41" s="46" t="str">
        <f>IF('Raw ICP-OES Data'!AA37&lt;'ICP-OES Total Metals'!AA$13,'ICP-OES Total Metals'!AA$17,'Raw ICP-OES Data'!AA37*50/'ICP-OES Total Metals'!$B41)</f>
        <v>&lt;3.4</v>
      </c>
      <c r="AB41" s="46" t="str">
        <f>IF('Raw ICP-OES Data'!AB37&lt;'ICP-OES Total Metals'!AB$13,'ICP-OES Total Metals'!AB$17,'Raw ICP-OES Data'!AB37*50/'ICP-OES Total Metals'!$B41)</f>
        <v>&lt;0.153</v>
      </c>
      <c r="AC41" s="46" t="str">
        <f>IF('Raw ICP-OES Data'!AC37&lt;'ICP-OES Total Metals'!AC$13,'ICP-OES Total Metals'!AC$17,'Raw ICP-OES Data'!AC37*50/'ICP-OES Total Metals'!$B41)</f>
        <v>&lt;0.217</v>
      </c>
      <c r="AD41" s="46" t="str">
        <f>IF('Raw ICP-OES Data'!AD37&lt;'ICP-OES Total Metals'!AD$13,'ICP-OES Total Metals'!AD$17,'Raw ICP-OES Data'!AD37*50/'ICP-OES Total Metals'!$B41)</f>
        <v>&lt;1.457</v>
      </c>
      <c r="AE41" s="46" t="str">
        <f>IF('Raw ICP-OES Data'!AE37&lt;'ICP-OES Total Metals'!AE$13,'ICP-OES Total Metals'!AE$17,'Raw ICP-OES Data'!AE37*50/'ICP-OES Total Metals'!$B41)</f>
        <v>&lt;0.307</v>
      </c>
    </row>
    <row r="42" spans="1:41" x14ac:dyDescent="0.25">
      <c r="A42" s="51">
        <f>'Raw ICP-OES Data'!A38</f>
        <v>0</v>
      </c>
      <c r="B42" s="116">
        <v>0.2046</v>
      </c>
      <c r="C42" s="46" t="str">
        <f>IF('Raw ICP-OES Data'!C38&lt;'ICP-OES Total Metals'!C$13,'ICP-OES Total Metals'!C$17,'Raw ICP-OES Data'!C38*50/'ICP-OES Total Metals'!$B42)</f>
        <v>&lt;3.326</v>
      </c>
      <c r="D42" s="46" t="str">
        <f>IF('Raw ICP-OES Data'!D38&lt;'ICP-OES Total Metals'!D$13,'ICP-OES Total Metals'!D$17,'Raw ICP-OES Data'!D38*50/'ICP-OES Total Metals'!$B42)</f>
        <v>&lt;5.82</v>
      </c>
      <c r="E42" s="46" t="str">
        <f>IF('Raw ICP-OES Data'!E38&lt;'ICP-OES Total Metals'!E$13,'ICP-OES Total Metals'!E$17,'Raw ICP-OES Data'!E38*50/'ICP-OES Total Metals'!$B42)</f>
        <v>&lt;3.97</v>
      </c>
      <c r="F42" s="46" t="str">
        <f>IF('Raw ICP-OES Data'!F38&lt;'ICP-OES Total Metals'!F$13,'ICP-OES Total Metals'!F$17,'Raw ICP-OES Data'!F38*50/'ICP-OES Total Metals'!$B42)</f>
        <v>&lt;14.698</v>
      </c>
      <c r="G42" s="46" t="str">
        <f>IF('Raw ICP-OES Data'!G38&lt;'ICP-OES Total Metals'!G$13,'ICP-OES Total Metals'!G$17,'Raw ICP-OES Data'!G38*50/'ICP-OES Total Metals'!$B42)</f>
        <v>&lt;0.217</v>
      </c>
      <c r="H42" s="46" t="str">
        <f>IF('Raw ICP-OES Data'!H38&lt;'ICP-OES Total Metals'!H$13,'ICP-OES Total Metals'!H$17,'Raw ICP-OES Data'!H38*50/'ICP-OES Total Metals'!$B42)</f>
        <v>&lt;0.2</v>
      </c>
      <c r="I42" s="46" t="str">
        <f>IF('Raw ICP-OES Data'!I38&lt;'ICP-OES Total Metals'!I$13,'ICP-OES Total Metals'!I$17,'Raw ICP-OES Data'!I38*50/'ICP-OES Total Metals'!$B42)</f>
        <v>&lt;4.358</v>
      </c>
      <c r="J42" s="46" t="str">
        <f>IF('Raw ICP-OES Data'!J38&lt;'ICP-OES Total Metals'!J$13,'ICP-OES Total Metals'!J$17,'Raw ICP-OES Data'!J38*50/'ICP-OES Total Metals'!$B42)</f>
        <v>&lt;0.3</v>
      </c>
      <c r="K42" s="46" t="str">
        <f>IF('Raw ICP-OES Data'!K38&lt;'ICP-OES Total Metals'!K$13,'ICP-OES Total Metals'!K$17,'Raw ICP-OES Data'!K38*50/'ICP-OES Total Metals'!$B42)</f>
        <v>&lt;0.527</v>
      </c>
      <c r="L42" s="46" t="str">
        <f>IF('Raw ICP-OES Data'!L38&lt;'ICP-OES Total Metals'!L$13,'ICP-OES Total Metals'!L$17,'Raw ICP-OES Data'!L38*50/'ICP-OES Total Metals'!$B42)</f>
        <v>&lt;0.43</v>
      </c>
      <c r="M42" s="46" t="str">
        <f>IF('Raw ICP-OES Data'!M38&lt;'ICP-OES Total Metals'!M$13,'ICP-OES Total Metals'!M$17,'Raw ICP-OES Data'!M38*50/'ICP-OES Total Metals'!$B42)</f>
        <v>&lt;1.129</v>
      </c>
      <c r="N42" s="46" t="str">
        <f>IF('Raw ICP-OES Data'!N38&lt;'ICP-OES Total Metals'!N$13,'ICP-OES Total Metals'!N$17,'Raw ICP-OES Data'!N38*50/'ICP-OES Total Metals'!$B42)</f>
        <v>&lt;1.81</v>
      </c>
      <c r="O42" s="46" t="str">
        <f>IF('Raw ICP-OES Data'!O38&lt;'ICP-OES Total Metals'!O$13,'ICP-OES Total Metals'!O$17,'Raw ICP-OES Data'!O38*50/'ICP-OES Total Metals'!$B42)</f>
        <v>&lt;62.4</v>
      </c>
      <c r="P42" s="46" t="str">
        <f>IF('Raw ICP-OES Data'!P38&lt;'ICP-OES Total Metals'!P$13,'ICP-OES Total Metals'!P$17,'Raw ICP-OES Data'!P38*50/'ICP-OES Total Metals'!$B42)</f>
        <v>&lt;1.866</v>
      </c>
      <c r="Q42" s="46" t="str">
        <f>IF('Raw ICP-OES Data'!Q38&lt;'ICP-OES Total Metals'!Q$13,'ICP-OES Total Metals'!Q$17,'Raw ICP-OES Data'!Q38*50/'ICP-OES Total Metals'!$B42)</f>
        <v>&lt;4.1</v>
      </c>
      <c r="R42" s="46" t="str">
        <f>IF('Raw ICP-OES Data'!R38&lt;'ICP-OES Total Metals'!R$13,'ICP-OES Total Metals'!R$17,'Raw ICP-OES Data'!R38*50/'ICP-OES Total Metals'!$B42)</f>
        <v>&lt;0.54</v>
      </c>
      <c r="S42" s="46" t="str">
        <f>IF('Raw ICP-OES Data'!S38&lt;'ICP-OES Total Metals'!S$13,'ICP-OES Total Metals'!S$17,'Raw ICP-OES Data'!S38*50/'ICP-OES Total Metals'!$B42)</f>
        <v>&lt;0.586</v>
      </c>
      <c r="T42" s="46" t="str">
        <f>IF('Raw ICP-OES Data'!T38&lt;'ICP-OES Total Metals'!T$13,'ICP-OES Total Metals'!T$17,'Raw ICP-OES Data'!T38*50/'ICP-OES Total Metals'!$B42)</f>
        <v>&lt;2.1</v>
      </c>
      <c r="U42" s="46" t="str">
        <f>IF('Raw ICP-OES Data'!U38&lt;'ICP-OES Total Metals'!U$13,'ICP-OES Total Metals'!U$17,'Raw ICP-OES Data'!U38*50/'ICP-OES Total Metals'!$B42)</f>
        <v>&lt;1.188</v>
      </c>
      <c r="V42" s="46" t="str">
        <f>IF('Raw ICP-OES Data'!V38&lt;'ICP-OES Total Metals'!V$13,'ICP-OES Total Metals'!V$17,'Raw ICP-OES Data'!V38*50/'ICP-OES Total Metals'!$B42)</f>
        <v>&lt;5.37</v>
      </c>
      <c r="W42" s="46" t="str">
        <f>IF('Raw ICP-OES Data'!W38&lt;'ICP-OES Total Metals'!W$13,'ICP-OES Total Metals'!W$17,'Raw ICP-OES Data'!W38*50/'ICP-OES Total Metals'!$B42)</f>
        <v>&lt;2.85</v>
      </c>
      <c r="X42" s="46" t="str">
        <f>IF('Raw ICP-OES Data'!X38&lt;'ICP-OES Total Metals'!X$13,'ICP-OES Total Metals'!X$17,'Raw ICP-OES Data'!X38*50/'ICP-OES Total Metals'!$B42)</f>
        <v>&lt;5.2</v>
      </c>
      <c r="Y42" s="46" t="str">
        <f>IF('Raw ICP-OES Data'!Y38&lt;'ICP-OES Total Metals'!Y$13,'ICP-OES Total Metals'!Y$17,'Raw ICP-OES Data'!Y38*50/'ICP-OES Total Metals'!$B42)</f>
        <v>&lt;5.73</v>
      </c>
      <c r="Z42" s="46" t="str">
        <f>IF('Raw ICP-OES Data'!Z38&lt;'ICP-OES Total Metals'!Z$13,'ICP-OES Total Metals'!Z$17,'Raw ICP-OES Data'!Z38*50/'ICP-OES Total Metals'!$B42)</f>
        <v>&lt;4.495</v>
      </c>
      <c r="AA42" s="46" t="str">
        <f>IF('Raw ICP-OES Data'!AA38&lt;'ICP-OES Total Metals'!AA$13,'ICP-OES Total Metals'!AA$17,'Raw ICP-OES Data'!AA38*50/'ICP-OES Total Metals'!$B42)</f>
        <v>&lt;3.4</v>
      </c>
      <c r="AB42" s="46" t="str">
        <f>IF('Raw ICP-OES Data'!AB38&lt;'ICP-OES Total Metals'!AB$13,'ICP-OES Total Metals'!AB$17,'Raw ICP-OES Data'!AB38*50/'ICP-OES Total Metals'!$B42)</f>
        <v>&lt;0.153</v>
      </c>
      <c r="AC42" s="46" t="str">
        <f>IF('Raw ICP-OES Data'!AC38&lt;'ICP-OES Total Metals'!AC$13,'ICP-OES Total Metals'!AC$17,'Raw ICP-OES Data'!AC38*50/'ICP-OES Total Metals'!$B42)</f>
        <v>&lt;0.217</v>
      </c>
      <c r="AD42" s="46" t="str">
        <f>IF('Raw ICP-OES Data'!AD38&lt;'ICP-OES Total Metals'!AD$13,'ICP-OES Total Metals'!AD$17,'Raw ICP-OES Data'!AD38*50/'ICP-OES Total Metals'!$B42)</f>
        <v>&lt;1.457</v>
      </c>
      <c r="AE42" s="46" t="str">
        <f>IF('Raw ICP-OES Data'!AE38&lt;'ICP-OES Total Metals'!AE$13,'ICP-OES Total Metals'!AE$17,'Raw ICP-OES Data'!AE38*50/'ICP-OES Total Metals'!$B42)</f>
        <v>&lt;0.307</v>
      </c>
    </row>
    <row r="43" spans="1:41" ht="15.75" thickBot="1" x14ac:dyDescent="0.3">
      <c r="A43" s="51"/>
      <c r="B43" s="11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</row>
    <row r="44" spans="1:41" ht="15.75" thickBot="1" x14ac:dyDescent="0.3">
      <c r="A44" s="51"/>
      <c r="B44" s="108"/>
      <c r="C44" s="46"/>
      <c r="D44" s="48"/>
      <c r="E44" s="46"/>
      <c r="F44" s="43"/>
      <c r="G44" s="47"/>
      <c r="H44" s="46"/>
      <c r="I44" s="48"/>
      <c r="J44" s="46"/>
      <c r="K44" s="46"/>
      <c r="L44" s="48"/>
      <c r="M44" s="46"/>
      <c r="N44" s="48"/>
      <c r="O44" s="48"/>
      <c r="P44" s="46"/>
      <c r="Q44" s="47"/>
      <c r="R44" s="47"/>
      <c r="S44" s="43"/>
      <c r="T44" s="48"/>
      <c r="U44" s="48"/>
      <c r="V44" s="48"/>
      <c r="W44" s="48"/>
      <c r="X44" s="48"/>
      <c r="Y44" s="43"/>
      <c r="Z44" s="46"/>
      <c r="AA44" s="47"/>
      <c r="AB44" s="46"/>
      <c r="AC44" s="47"/>
      <c r="AD44" s="47"/>
      <c r="AE44" s="48"/>
    </row>
    <row r="45" spans="1:41" x14ac:dyDescent="0.25"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</row>
    <row r="46" spans="1:41" x14ac:dyDescent="0.25">
      <c r="I46" s="23">
        <f>('Raw ICP-OES Data'!I20*50)/'ICP-OES Total Metals'!$B$24</f>
        <v>784.47862564922082</v>
      </c>
      <c r="O46" s="23">
        <f>('Raw ICP-OES Data'!O20*50)/'ICP-OES Total Metals'!$B$24</f>
        <v>22.233320015980819</v>
      </c>
    </row>
  </sheetData>
  <mergeCells count="2">
    <mergeCell ref="A20:A21"/>
    <mergeCell ref="B20:B2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Z45"/>
  <sheetViews>
    <sheetView tabSelected="1" topLeftCell="F1" workbookViewId="0">
      <selection activeCell="D28" sqref="D28"/>
    </sheetView>
  </sheetViews>
  <sheetFormatPr defaultRowHeight="15" x14ac:dyDescent="0.25"/>
  <cols>
    <col min="1" max="1" width="28.85546875" customWidth="1"/>
    <col min="2" max="2" width="15" customWidth="1"/>
    <col min="3" max="3" width="10.42578125" style="23" bestFit="1" customWidth="1"/>
    <col min="4" max="4" width="11.28515625" style="23" customWidth="1"/>
    <col min="5" max="5" width="10" style="23" customWidth="1"/>
    <col min="6" max="6" width="9.42578125" style="23" bestFit="1" customWidth="1"/>
    <col min="7" max="7" width="10.42578125" style="23" bestFit="1" customWidth="1"/>
    <col min="8" max="8" width="11.85546875" style="23" bestFit="1" customWidth="1"/>
    <col min="9" max="9" width="12.140625" style="23" customWidth="1"/>
    <col min="10" max="12" width="9.42578125" style="23" bestFit="1" customWidth="1"/>
    <col min="13" max="13" width="10.85546875" style="23" bestFit="1" customWidth="1"/>
    <col min="14" max="14" width="12.85546875" style="23" customWidth="1"/>
    <col min="15" max="15" width="11.42578125" style="23" bestFit="1" customWidth="1"/>
    <col min="16" max="16" width="11.28515625" style="23" customWidth="1"/>
    <col min="17" max="18" width="11.42578125" style="23" bestFit="1" customWidth="1"/>
    <col min="19" max="19" width="9.7109375" style="23" bestFit="1" customWidth="1"/>
    <col min="20" max="20" width="10.42578125" style="23" bestFit="1" customWidth="1"/>
    <col min="21" max="21" width="9.42578125" style="23" bestFit="1" customWidth="1"/>
    <col min="22" max="23" width="10.42578125" style="23" bestFit="1" customWidth="1"/>
    <col min="24" max="24" width="11.42578125" style="23" bestFit="1" customWidth="1"/>
    <col min="25" max="25" width="11.42578125" style="23" customWidth="1"/>
    <col min="26" max="26" width="10.85546875" style="23" customWidth="1"/>
    <col min="27" max="27" width="10.42578125" style="23" bestFit="1" customWidth="1"/>
    <col min="28" max="28" width="9.42578125" style="23" bestFit="1" customWidth="1"/>
    <col min="29" max="29" width="9.85546875" style="23" bestFit="1" customWidth="1"/>
    <col min="30" max="30" width="9.42578125" style="23" bestFit="1" customWidth="1"/>
    <col min="31" max="31" width="11.42578125" style="23" bestFit="1" customWidth="1"/>
  </cols>
  <sheetData>
    <row r="1" spans="1:31" s="38" customFormat="1" ht="21.75" thickBot="1" x14ac:dyDescent="0.3">
      <c r="A1" s="37" t="str">
        <f>'Raw ICP-OES Data'!A1</f>
        <v xml:space="preserve"> Inductively Coupled Plasma-Optical Emission Spectrometer (ICP-AES) Samples Review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</row>
    <row r="2" spans="1:31" s="2" customFormat="1" ht="3.75" customHeight="1" x14ac:dyDescent="0.25">
      <c r="A2" s="1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s="2" customFormat="1" x14ac:dyDescent="0.25">
      <c r="A3" s="3" t="str">
        <f>'Raw ICP-OES Data'!A3</f>
        <v>Sequence Name: Valmont Fly Ash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</row>
    <row r="4" spans="1:31" s="2" customFormat="1" x14ac:dyDescent="0.25">
      <c r="A4" s="3" t="str">
        <f>'Raw ICP-OES Data'!A4</f>
        <v>Digested By: Trevor Henry on 8/29/2024  electronic Lab book K-LRTD-NB-2993| Analyzed By: Mahendranath Arambewela. The final volume of the digestion was 50 mL.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</row>
    <row r="5" spans="1:31" s="2" customFormat="1" x14ac:dyDescent="0.25">
      <c r="A5" s="3" t="str">
        <f>'Raw ICP-OES Data'!A5</f>
        <v>Chain of Custody:  Not Received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</row>
    <row r="6" spans="1:31" s="2" customFormat="1" x14ac:dyDescent="0.25">
      <c r="A6" s="3" t="str">
        <f>'Raw ICP-OES Data'!A6</f>
        <v>Sample Preparation: Total metal samples were acid digested per SOP K-LRTD-SOP-1193-0 (based on  EPA Method 3051)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</row>
    <row r="7" spans="1:31" s="2" customFormat="1" x14ac:dyDescent="0.25">
      <c r="A7" s="3" t="str">
        <f>'Raw ICP-OES Data'!A7</f>
        <v>Instrument: Inductively coupled plasma-optical emission spectrometer (ICP-OES) Agilent 5900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s="2" customFormat="1" x14ac:dyDescent="0.25">
      <c r="A8" s="3" t="str">
        <f>'Raw ICP-OES Data'!A8</f>
        <v>Electronic data found at: L:\Priv\CtrHill\CSSB Applied Research\Spring River Watershed\Data Reports with QA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31" s="2" customFormat="1" x14ac:dyDescent="0.25">
      <c r="A9" s="3" t="str">
        <f>'Raw ICP-OES Data'!A9</f>
        <v>Analytical Method: ICP analysis per SOP K-LRTD-SOP-1185-1 (based on EPA Method 6010B)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31" s="2" customFormat="1" ht="3.75" customHeight="1" x14ac:dyDescent="0.25">
      <c r="A10" s="4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31" s="2" customFormat="1" ht="12.75" customHeight="1" x14ac:dyDescent="0.25">
      <c r="A11" s="24" t="str">
        <f>'Raw ICP-OES Data'!A11</f>
        <v>Raw Data Sheets: US-EPA CHL Facility Lab 131 Inductively coupled plasma-optical emission spectrometer (ICP-OES) Agilent 5900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31" s="2" customFormat="1" ht="3.75" customHeight="1" thickBot="1" x14ac:dyDescent="0.3"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31" s="2" customFormat="1" ht="15" customHeight="1" x14ac:dyDescent="0.25">
      <c r="B13" s="5" t="str">
        <f>'Raw ICP-OES Data'!B13</f>
        <v>MDL (mg/L)</v>
      </c>
      <c r="C13" s="6">
        <f>'Raw ICP-OES Data'!C13</f>
        <v>3.3255313645591529E-3</v>
      </c>
      <c r="D13" s="6">
        <f>'Raw ICP-OES Data'!D13</f>
        <v>5.817279764632261E-3</v>
      </c>
      <c r="E13" s="6">
        <f>'Raw ICP-OES Data'!E13</f>
        <v>3.9661384275724255E-3</v>
      </c>
      <c r="F13" s="6">
        <f>'Raw ICP-OES Data'!F13</f>
        <v>1.4698196338553474E-2</v>
      </c>
      <c r="G13" s="6">
        <f>'Raw ICP-OES Data'!G13</f>
        <v>2.1688760530130192E-4</v>
      </c>
      <c r="H13" s="6">
        <f>'Raw ICP-OES Data'!H13</f>
        <v>1.8146118960629933E-4</v>
      </c>
      <c r="I13" s="6">
        <f>'Raw ICP-OES Data'!I13</f>
        <v>4.357768029240045E-3</v>
      </c>
      <c r="J13" s="53">
        <f>'Raw ICP-OES Data'!J13</f>
        <v>3.0672539292772398E-4</v>
      </c>
      <c r="K13" s="6">
        <f>'Raw ICP-OES Data'!K13</f>
        <v>5.2681816281015465E-4</v>
      </c>
      <c r="L13" s="6">
        <f>'Raw ICP-OES Data'!L13</f>
        <v>4.3377521060260378E-4</v>
      </c>
      <c r="M13" s="6">
        <f>'Raw ICP-OES Data'!M13</f>
        <v>1.129066128857532E-3</v>
      </c>
      <c r="N13" s="6">
        <f>'Raw ICP-OES Data'!N13</f>
        <v>1.8146118960629934E-3</v>
      </c>
      <c r="O13" s="6">
        <f>'Raw ICP-OES Data'!O13</f>
        <v>6.2369574885195428E-2</v>
      </c>
      <c r="P13" s="6">
        <f>'Raw ICP-OES Data'!P13</f>
        <v>1.8657377271917579E-3</v>
      </c>
      <c r="Q13" s="6">
        <f>'Raw ICP-OES Data'!Q13</f>
        <v>4.1413607755583599E-3</v>
      </c>
      <c r="R13" s="6">
        <f>'Raw ICP-OES Data'!R13</f>
        <v>5.4004578200988367E-4</v>
      </c>
      <c r="S13" s="6">
        <f>'Raw ICP-OES Data'!S13</f>
        <v>5.8599804038352661E-4</v>
      </c>
      <c r="T13" s="6">
        <f>'Raw ICP-OES Data'!T13</f>
        <v>2.1117324925283513E-3</v>
      </c>
      <c r="U13" s="6">
        <f>'Raw ICP-OES Data'!U13</f>
        <v>1.1879423386680005E-3</v>
      </c>
      <c r="V13" s="6">
        <f>'Raw ICP-OES Data'!V13</f>
        <v>5.3703228074918037E-3</v>
      </c>
      <c r="W13" s="6">
        <f>'Raw ICP-OES Data'!W13</f>
        <v>2.8543595452103321E-3</v>
      </c>
      <c r="X13" s="6">
        <f>'Raw ICP-OES Data'!X13</f>
        <v>5.2039468031485486E-3</v>
      </c>
      <c r="Y13" s="6">
        <f>'Raw ICP-OES Data'!Y13</f>
        <v>5.7259970863888249E-3</v>
      </c>
      <c r="Z13" s="6">
        <f>'Raw ICP-OES Data'!Z13</f>
        <v>4.4953847710735503E-3</v>
      </c>
      <c r="AA13" s="6">
        <f>'Raw ICP-OES Data'!AA13</f>
        <v>3.4086562797286165E-3</v>
      </c>
      <c r="AB13" s="6">
        <f>'Raw ICP-OES Data'!AB13</f>
        <v>1.5336269646386205E-4</v>
      </c>
      <c r="AC13" s="6">
        <f>'Raw ICP-OES Data'!AC13</f>
        <v>2.1688760530130192E-4</v>
      </c>
      <c r="AD13" s="6">
        <f>'Raw ICP-OES Data'!AD13</f>
        <v>1.45654197444953E-3</v>
      </c>
      <c r="AE13" s="57">
        <f>'Raw ICP-OES Data'!AE13</f>
        <v>3.0672539292772409E-4</v>
      </c>
    </row>
    <row r="14" spans="1:31" s="2" customFormat="1" ht="15" hidden="1" customHeight="1" x14ac:dyDescent="0.25">
      <c r="B14" s="7" t="str">
        <f>'Raw ICP-OES Data'!B14</f>
        <v>MRL (mg/L)</v>
      </c>
      <c r="C14" s="8">
        <f>'Raw ICP-OES Data'!C14</f>
        <v>3.3255313645591526E-2</v>
      </c>
      <c r="D14" s="8">
        <f>'Raw ICP-OES Data'!D14</f>
        <v>5.8172797646322612E-2</v>
      </c>
      <c r="E14" s="8">
        <f>'Raw ICP-OES Data'!E14</f>
        <v>3.9661384275724257E-2</v>
      </c>
      <c r="F14" s="8">
        <f>'Raw ICP-OES Data'!F14</f>
        <v>0.14698196338553474</v>
      </c>
      <c r="G14" s="8">
        <f>'Raw ICP-OES Data'!G14</f>
        <v>2.168876053013019E-3</v>
      </c>
      <c r="H14" s="8">
        <f>'Raw ICP-OES Data'!H14</f>
        <v>1.8146118960629934E-3</v>
      </c>
      <c r="I14" s="8">
        <f>'Raw ICP-OES Data'!I14</f>
        <v>4.3577680292400452E-2</v>
      </c>
      <c r="J14" s="8">
        <f>'Raw ICP-OES Data'!J14</f>
        <v>3.06725392927724E-3</v>
      </c>
      <c r="K14" s="8">
        <f>'Raw ICP-OES Data'!K14</f>
        <v>5.2681816281015467E-3</v>
      </c>
      <c r="L14" s="8">
        <f>'Raw ICP-OES Data'!L14</f>
        <v>4.3377521060260381E-3</v>
      </c>
      <c r="M14" s="8">
        <f>'Raw ICP-OES Data'!M14</f>
        <v>1.129066128857532E-2</v>
      </c>
      <c r="N14" s="8">
        <f>'Raw ICP-OES Data'!N14</f>
        <v>1.8146118960629933E-2</v>
      </c>
      <c r="O14" s="8">
        <f>'Raw ICP-OES Data'!O14</f>
        <v>0.62369574885195433</v>
      </c>
      <c r="P14" s="8">
        <f>'Raw ICP-OES Data'!P14</f>
        <v>1.8657377271917578E-2</v>
      </c>
      <c r="Q14" s="8">
        <f>'Raw ICP-OES Data'!Q14</f>
        <v>4.1413607755583601E-2</v>
      </c>
      <c r="R14" s="8">
        <f>'Raw ICP-OES Data'!R14</f>
        <v>5.4004578200988369E-3</v>
      </c>
      <c r="S14" s="8">
        <f>'Raw ICP-OES Data'!S14</f>
        <v>5.8599804038352663E-3</v>
      </c>
      <c r="T14" s="8">
        <f>'Raw ICP-OES Data'!T14</f>
        <v>2.1117324925283513E-2</v>
      </c>
      <c r="U14" s="8">
        <f>'Raw ICP-OES Data'!U14</f>
        <v>1.1879423386680006E-2</v>
      </c>
      <c r="V14" s="8">
        <f>'Raw ICP-OES Data'!V14</f>
        <v>5.3703228074918036E-2</v>
      </c>
      <c r="W14" s="8">
        <f>'Raw ICP-OES Data'!W14</f>
        <v>2.8543595452103322E-2</v>
      </c>
      <c r="X14" s="8">
        <f>'Raw ICP-OES Data'!X14</f>
        <v>5.2039468031485486E-2</v>
      </c>
      <c r="Y14" s="8">
        <f>'Raw ICP-OES Data'!Y14</f>
        <v>5.7259970863888246E-2</v>
      </c>
      <c r="Z14" s="8">
        <f>'Raw ICP-OES Data'!Z14</f>
        <v>4.4953847710735503E-2</v>
      </c>
      <c r="AA14" s="8">
        <f>'Raw ICP-OES Data'!AA14</f>
        <v>3.4086562797286168E-2</v>
      </c>
      <c r="AB14" s="8">
        <f>'Raw ICP-OES Data'!AB14</f>
        <v>1.5336269646386205E-3</v>
      </c>
      <c r="AC14" s="8">
        <f>'Raw ICP-OES Data'!AC14</f>
        <v>2.168876053013019E-3</v>
      </c>
      <c r="AD14" s="8">
        <f>'Raw ICP-OES Data'!AD14</f>
        <v>1.4565419744495293E-2</v>
      </c>
      <c r="AE14" s="58">
        <f>'Raw ICP-OES Data'!AE14</f>
        <v>3.0672539292772409E-3</v>
      </c>
    </row>
    <row r="15" spans="1:31" s="2" customFormat="1" ht="15" customHeight="1" x14ac:dyDescent="0.25">
      <c r="B15" s="7" t="str">
        <f>B14</f>
        <v>MRL (mg/L)</v>
      </c>
      <c r="C15" s="8" t="str">
        <f>CONCATENATE("&lt;",ROUND(C14,4))</f>
        <v>&lt;0.0333</v>
      </c>
      <c r="D15" s="8" t="str">
        <f t="shared" ref="D15:H15" si="0">CONCATENATE("&lt;",ROUND(D14,4))</f>
        <v>&lt;0.0582</v>
      </c>
      <c r="E15" s="8" t="str">
        <f t="shared" si="0"/>
        <v>&lt;0.0397</v>
      </c>
      <c r="F15" s="8" t="str">
        <f t="shared" si="0"/>
        <v>&lt;0.147</v>
      </c>
      <c r="G15" s="8" t="str">
        <f t="shared" si="0"/>
        <v>&lt;0.0022</v>
      </c>
      <c r="H15" s="8" t="str">
        <f t="shared" si="0"/>
        <v>&lt;0.0018</v>
      </c>
      <c r="I15" s="8" t="str">
        <f t="shared" ref="I15" si="1">CONCATENATE("&lt;",ROUND(I14,4))</f>
        <v>&lt;0.0436</v>
      </c>
      <c r="J15" s="8" t="str">
        <f>CONCATENATE("&lt;",ROUND(J14,3))</f>
        <v>&lt;0.003</v>
      </c>
      <c r="K15" s="8" t="str">
        <f t="shared" ref="K15" si="2">CONCATENATE("&lt;",ROUND(K14,4))</f>
        <v>&lt;0.0053</v>
      </c>
      <c r="L15" s="8" t="str">
        <f t="shared" ref="L15:M15" si="3">CONCATENATE("&lt;",ROUND(L14,4))</f>
        <v>&lt;0.0043</v>
      </c>
      <c r="M15" s="8" t="str">
        <f t="shared" si="3"/>
        <v>&lt;0.0113</v>
      </c>
      <c r="N15" s="8" t="str">
        <f t="shared" ref="N15" si="4">CONCATENATE("&lt;",ROUND(N14,4))</f>
        <v>&lt;0.0181</v>
      </c>
      <c r="O15" s="8" t="str">
        <f t="shared" ref="O15:P15" si="5">CONCATENATE("&lt;",ROUND(O14,4))</f>
        <v>&lt;0.6237</v>
      </c>
      <c r="P15" s="8" t="str">
        <f t="shared" si="5"/>
        <v>&lt;0.0187</v>
      </c>
      <c r="Q15" s="8" t="str">
        <f t="shared" ref="Q15:R15" si="6">CONCATENATE("&lt;",ROUND(Q14,4))</f>
        <v>&lt;0.0414</v>
      </c>
      <c r="R15" s="8" t="str">
        <f t="shared" si="6"/>
        <v>&lt;0.0054</v>
      </c>
      <c r="S15" s="8" t="str">
        <f t="shared" ref="S15" si="7">CONCATENATE("&lt;",ROUND(S14,4))</f>
        <v>&lt;0.0059</v>
      </c>
      <c r="T15" s="8" t="str">
        <f t="shared" ref="T15" si="8">CONCATENATE("&lt;",ROUND(T14,4))</f>
        <v>&lt;0.0211</v>
      </c>
      <c r="U15" s="8" t="str">
        <f t="shared" ref="U15" si="9">CONCATENATE("&lt;",ROUND(U14,4))</f>
        <v>&lt;0.0119</v>
      </c>
      <c r="V15" s="8" t="str">
        <f t="shared" ref="V15:W15" si="10">CONCATENATE("&lt;",ROUND(V14,4))</f>
        <v>&lt;0.0537</v>
      </c>
      <c r="W15" s="8" t="str">
        <f t="shared" si="10"/>
        <v>&lt;0.0285</v>
      </c>
      <c r="X15" s="8" t="str">
        <f t="shared" ref="X15" si="11">CONCATENATE("&lt;",ROUND(X14,4))</f>
        <v>&lt;0.052</v>
      </c>
      <c r="Y15" s="8" t="str">
        <f t="shared" ref="Y15" si="12">CONCATENATE("&lt;",ROUND(Y14,4))</f>
        <v>&lt;0.0573</v>
      </c>
      <c r="Z15" s="8" t="str">
        <f t="shared" ref="Z15" si="13">CONCATENATE("&lt;",ROUND(Z14,4))</f>
        <v>&lt;0.045</v>
      </c>
      <c r="AA15" s="8" t="str">
        <f t="shared" ref="AA15:AB15" si="14">CONCATENATE("&lt;",ROUND(AA14,4))</f>
        <v>&lt;0.0341</v>
      </c>
      <c r="AB15" s="8" t="str">
        <f t="shared" si="14"/>
        <v>&lt;0.0015</v>
      </c>
      <c r="AC15" s="8" t="str">
        <f t="shared" ref="AC15:AE15" si="15">CONCATENATE("&lt;",ROUND(AC14,4))</f>
        <v>&lt;0.0022</v>
      </c>
      <c r="AD15" s="8" t="str">
        <f t="shared" si="15"/>
        <v>&lt;0.0146</v>
      </c>
      <c r="AE15" s="58" t="str">
        <f t="shared" si="15"/>
        <v>&lt;0.0031</v>
      </c>
    </row>
    <row r="16" spans="1:31" s="2" customFormat="1" ht="15" customHeight="1" x14ac:dyDescent="0.25">
      <c r="B16" s="7" t="s">
        <v>18</v>
      </c>
      <c r="C16" s="98">
        <f>'ICP-OES Total Metals'!C16</f>
        <v>3.3255313645591524</v>
      </c>
      <c r="D16" s="99">
        <f>'ICP-OES Total Metals'!D16</f>
        <v>5.8172797646322616</v>
      </c>
      <c r="E16" s="98">
        <f>'ICP-OES Total Metals'!E16</f>
        <v>3.9661384275724259</v>
      </c>
      <c r="F16" s="99">
        <f>'ICP-OES Total Metals'!F16</f>
        <v>14.698196338553474</v>
      </c>
      <c r="G16" s="98">
        <f>'ICP-OES Total Metals'!G16</f>
        <v>0.21688760530130191</v>
      </c>
      <c r="H16" s="100">
        <f>'ICP-OES Total Metals'!H16</f>
        <v>0.18146118960629934</v>
      </c>
      <c r="I16" s="101">
        <f>'ICP-OES Total Metals'!I16</f>
        <v>4.3577680292400451</v>
      </c>
      <c r="J16" s="100">
        <f>'ICP-OES Total Metals'!J16</f>
        <v>0.30672539292772399</v>
      </c>
      <c r="K16" s="98">
        <f>'ICP-OES Total Metals'!K16</f>
        <v>0.5268181628101547</v>
      </c>
      <c r="L16" s="99">
        <f>'ICP-OES Total Metals'!L16</f>
        <v>0.43377521060260382</v>
      </c>
      <c r="M16" s="98">
        <f>'ICP-OES Total Metals'!M16</f>
        <v>1.1290661288575321</v>
      </c>
      <c r="N16" s="99">
        <f>'ICP-OES Total Metals'!N16</f>
        <v>1.8146118960629933</v>
      </c>
      <c r="O16" s="100">
        <f>'ICP-OES Total Metals'!O16</f>
        <v>62.369574885195433</v>
      </c>
      <c r="P16" s="100">
        <f>'ICP-OES Total Metals'!P16</f>
        <v>1.8657377271917579</v>
      </c>
      <c r="Q16" s="100">
        <f>'ICP-OES Total Metals'!Q16</f>
        <v>4.1413607755583604</v>
      </c>
      <c r="R16" s="98">
        <f>'ICP-OES Total Metals'!R16</f>
        <v>0.54004578200988373</v>
      </c>
      <c r="S16" s="98">
        <f>'ICP-OES Total Metals'!S16</f>
        <v>0.58599804038352665</v>
      </c>
      <c r="T16" s="100">
        <f>'ICP-OES Total Metals'!T16</f>
        <v>2.1117324925283514</v>
      </c>
      <c r="U16" s="98">
        <f>'ICP-OES Total Metals'!U16</f>
        <v>1.1879423386680006</v>
      </c>
      <c r="V16" s="98">
        <f>'ICP-OES Total Metals'!V16</f>
        <v>5.3703228074918039</v>
      </c>
      <c r="W16" s="99">
        <f>'ICP-OES Total Metals'!W16</f>
        <v>2.8543595452103321</v>
      </c>
      <c r="X16" s="99">
        <f>'ICP-OES Total Metals'!X16</f>
        <v>5.2039468031485487</v>
      </c>
      <c r="Y16" s="98">
        <f>'ICP-OES Total Metals'!Y16</f>
        <v>5.7259970863888245</v>
      </c>
      <c r="Z16" s="98">
        <f>'ICP-OES Total Metals'!Z16</f>
        <v>4.4953847710735504</v>
      </c>
      <c r="AA16" s="100">
        <f>'ICP-OES Total Metals'!AA16</f>
        <v>3.4086562797286168</v>
      </c>
      <c r="AB16" s="98">
        <f>'ICP-OES Total Metals'!AB16</f>
        <v>0.15336269646386205</v>
      </c>
      <c r="AC16" s="98">
        <f>'ICP-OES Total Metals'!AC16</f>
        <v>0.21688760530130191</v>
      </c>
      <c r="AD16" s="98">
        <f>'ICP-OES Total Metals'!AD16</f>
        <v>1.4565419744495294</v>
      </c>
      <c r="AE16" s="102">
        <f>'ICP-OES Total Metals'!AE16</f>
        <v>0.30672539292772411</v>
      </c>
    </row>
    <row r="17" spans="1:31" s="2" customFormat="1" ht="15" customHeight="1" thickBot="1" x14ac:dyDescent="0.3">
      <c r="B17" s="9" t="s">
        <v>19</v>
      </c>
      <c r="C17" s="10" t="str">
        <f>CONCATENATE("&lt;",ROUND(C16,3))</f>
        <v>&lt;3.326</v>
      </c>
      <c r="D17" s="10" t="str">
        <f>CONCATENATE("&lt;",ROUND(D16,1))</f>
        <v>&lt;5.8</v>
      </c>
      <c r="E17" s="10" t="str">
        <f>CONCATENATE("&lt;",ROUND(E16,2))</f>
        <v>&lt;3.97</v>
      </c>
      <c r="F17" s="10" t="str">
        <f>CONCATENATE("&lt;",ROUND(F16,2))</f>
        <v>&lt;14.7</v>
      </c>
      <c r="G17" s="10" t="str">
        <f t="shared" ref="G17:S17" si="16">CONCATENATE("&lt;",ROUND(G16,3))</f>
        <v>&lt;0.217</v>
      </c>
      <c r="H17" s="10" t="str">
        <f>CONCATENATE("&lt;",ROUND(H16,1))</f>
        <v>&lt;0.2</v>
      </c>
      <c r="I17" s="10" t="str">
        <f>CONCATENATE("&lt;",ROUND(I16,3))</f>
        <v>&lt;4.358</v>
      </c>
      <c r="J17" s="52" t="str">
        <f>CONCATENATE("&lt;",ROUND(J16,1))</f>
        <v>&lt;0.3</v>
      </c>
      <c r="K17" s="10" t="str">
        <f>CONCATENATE("&lt;",ROUND(K16,3))</f>
        <v>&lt;0.527</v>
      </c>
      <c r="L17" s="49" t="str">
        <f>CONCATENATE("&lt;",ROUND(L16,2))</f>
        <v>&lt;0.43</v>
      </c>
      <c r="M17" s="10" t="str">
        <f>CONCATENATE("&lt;",ROUND(M16,3))</f>
        <v>&lt;1.129</v>
      </c>
      <c r="N17" s="10" t="str">
        <f>CONCATENATE("&lt;",ROUND(N16,2))</f>
        <v>&lt;1.81</v>
      </c>
      <c r="O17" s="10" t="str">
        <f>CONCATENATE("&lt;",ROUND(O16,1))</f>
        <v>&lt;62.4</v>
      </c>
      <c r="P17" s="10" t="str">
        <f>CONCATENATE("&lt;",ROUND(P16,1))</f>
        <v>&lt;1.9</v>
      </c>
      <c r="Q17" s="10" t="str">
        <f>CONCATENATE("&lt;",ROUND(Q16,1))</f>
        <v>&lt;4.1</v>
      </c>
      <c r="R17" s="10" t="str">
        <f>CONCATENATE("&lt;",ROUND(R16,2))</f>
        <v>&lt;0.54</v>
      </c>
      <c r="S17" s="10" t="str">
        <f t="shared" si="16"/>
        <v>&lt;0.586</v>
      </c>
      <c r="T17" s="10" t="str">
        <f>CONCATENATE("&lt;",ROUND(T16,1))</f>
        <v>&lt;2.1</v>
      </c>
      <c r="U17" s="10" t="str">
        <f>CONCATENATE("&lt;",ROUND(U16,2))</f>
        <v>&lt;1.19</v>
      </c>
      <c r="V17" s="10" t="str">
        <f>CONCATENATE("&lt;",ROUND(V16,2))</f>
        <v>&lt;5.37</v>
      </c>
      <c r="W17" s="10" t="str">
        <f>CONCATENATE("&lt;",ROUND(W16,1))</f>
        <v>&lt;2.9</v>
      </c>
      <c r="X17" s="10" t="str">
        <f>CONCATENATE("&lt;",ROUND(X16,2))</f>
        <v>&lt;5.2</v>
      </c>
      <c r="Y17" s="10" t="str">
        <f>CONCATENATE("&lt;",ROUND(Y16,2))</f>
        <v>&lt;5.73</v>
      </c>
      <c r="Z17" s="10" t="str">
        <f>CONCATENATE("&lt;",ROUND(Z16,2))</f>
        <v>&lt;4.5</v>
      </c>
      <c r="AA17" s="10" t="str">
        <f>CONCATENATE("&lt;",ROUND(AA16,1))</f>
        <v>&lt;3.4</v>
      </c>
      <c r="AB17" s="10" t="str">
        <f>CONCATENATE("&lt;",ROUND(AB16,3))</f>
        <v>&lt;0.153</v>
      </c>
      <c r="AC17" s="10" t="str">
        <f>CONCATENATE("&lt;",ROUND(AC16,2))</f>
        <v>&lt;0.22</v>
      </c>
      <c r="AD17" s="10" t="str">
        <f t="shared" ref="AD17:AE17" si="17">CONCATENATE("&lt;",ROUND(AD16,2))</f>
        <v>&lt;1.46</v>
      </c>
      <c r="AE17" s="59" t="str">
        <f t="shared" si="17"/>
        <v>&lt;0.31</v>
      </c>
    </row>
    <row r="18" spans="1:31" s="2" customFormat="1" ht="11.25" customHeight="1" x14ac:dyDescent="0.25">
      <c r="B18" s="21" t="s">
        <v>20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s="2" customFormat="1" ht="3.75" customHeight="1" x14ac:dyDescent="0.25"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33" customFormat="1" ht="11.25" customHeight="1" x14ac:dyDescent="0.25">
      <c r="A20" s="146" t="s">
        <v>10</v>
      </c>
      <c r="B20" s="148" t="s">
        <v>23</v>
      </c>
      <c r="C20" s="39" t="str">
        <f>'Raw ICP-OES Data'!C16</f>
        <v>Ag</v>
      </c>
      <c r="D20" s="39" t="str">
        <f>'Raw ICP-OES Data'!D16</f>
        <v xml:space="preserve">Al </v>
      </c>
      <c r="E20" s="39" t="str">
        <f>'Raw ICP-OES Data'!E16</f>
        <v xml:space="preserve">As </v>
      </c>
      <c r="F20" s="39" t="str">
        <f>'Raw ICP-OES Data'!F16</f>
        <v xml:space="preserve">B </v>
      </c>
      <c r="G20" s="39" t="str">
        <f>'Raw ICP-OES Data'!G16</f>
        <v xml:space="preserve">Ba </v>
      </c>
      <c r="H20" s="39" t="str">
        <f>'Raw ICP-OES Data'!H16</f>
        <v xml:space="preserve">Be </v>
      </c>
      <c r="I20" s="39" t="str">
        <f>'Raw ICP-OES Data'!I16</f>
        <v xml:space="preserve">Ca </v>
      </c>
      <c r="J20" s="39" t="str">
        <f>'Raw ICP-OES Data'!J16</f>
        <v xml:space="preserve">Cd </v>
      </c>
      <c r="K20" s="39" t="str">
        <f>'Raw ICP-OES Data'!K16</f>
        <v xml:space="preserve">Co </v>
      </c>
      <c r="L20" s="39" t="str">
        <f>'Raw ICP-OES Data'!L16</f>
        <v xml:space="preserve">Cr </v>
      </c>
      <c r="M20" s="39" t="str">
        <f>'Raw ICP-OES Data'!M16</f>
        <v xml:space="preserve">Cu </v>
      </c>
      <c r="N20" s="39" t="str">
        <f>'Raw ICP-OES Data'!N16</f>
        <v xml:space="preserve">Fe </v>
      </c>
      <c r="O20" s="39" t="str">
        <f>'Raw ICP-OES Data'!O16</f>
        <v xml:space="preserve">K </v>
      </c>
      <c r="P20" s="39" t="str">
        <f>'Raw ICP-OES Data'!P16</f>
        <v xml:space="preserve">Li </v>
      </c>
      <c r="Q20" s="39" t="str">
        <f>'Raw ICP-OES Data'!Q16</f>
        <v xml:space="preserve">Mg </v>
      </c>
      <c r="R20" s="39" t="str">
        <f>'Raw ICP-OES Data'!R16</f>
        <v xml:space="preserve">Mn </v>
      </c>
      <c r="S20" s="39" t="str">
        <f>'Raw ICP-OES Data'!S16</f>
        <v xml:space="preserve">Mo </v>
      </c>
      <c r="T20" s="39" t="str">
        <f>'Raw ICP-OES Data'!T16</f>
        <v xml:space="preserve">Na </v>
      </c>
      <c r="U20" s="39" t="str">
        <f>'Raw ICP-OES Data'!U16</f>
        <v xml:space="preserve">Ni </v>
      </c>
      <c r="V20" s="39" t="str">
        <f>'Raw ICP-OES Data'!V16</f>
        <v xml:space="preserve">P </v>
      </c>
      <c r="W20" s="39" t="str">
        <f>'Raw ICP-OES Data'!W16</f>
        <v xml:space="preserve">Pb </v>
      </c>
      <c r="X20" s="39" t="str">
        <f>'Raw ICP-OES Data'!X16</f>
        <v xml:space="preserve">S </v>
      </c>
      <c r="Y20" s="39" t="str">
        <f>'Raw ICP-OES Data'!Y16</f>
        <v xml:space="preserve">Sb </v>
      </c>
      <c r="Z20" s="39" t="str">
        <f>'Raw ICP-OES Data'!Z16</f>
        <v xml:space="preserve">Se </v>
      </c>
      <c r="AA20" s="39" t="str">
        <f>'Raw ICP-OES Data'!AA16</f>
        <v>Si</v>
      </c>
      <c r="AB20" s="39" t="str">
        <f>'Raw ICP-OES Data'!AB16</f>
        <v xml:space="preserve">Sr </v>
      </c>
      <c r="AC20" s="39" t="str">
        <f>'Raw ICP-OES Data'!AC16</f>
        <v xml:space="preserve">Ti </v>
      </c>
      <c r="AD20" s="39" t="str">
        <f>'Raw ICP-OES Data'!AD16</f>
        <v xml:space="preserve">V </v>
      </c>
      <c r="AE20" s="39" t="str">
        <f>'Raw ICP-OES Data'!AE16</f>
        <v xml:space="preserve">Zn </v>
      </c>
    </row>
    <row r="21" spans="1:31" s="42" customFormat="1" ht="11.25" customHeight="1" x14ac:dyDescent="0.25">
      <c r="A21" s="146"/>
      <c r="B21" s="148"/>
      <c r="C21" s="40" t="str">
        <f>'ICP-OES Total Metals'!C21</f>
        <v>mg/kg</v>
      </c>
      <c r="D21" s="40" t="str">
        <f>'ICP-OES Total Metals'!D21</f>
        <v>mg/kg</v>
      </c>
      <c r="E21" s="40" t="str">
        <f>'ICP-OES Total Metals'!E21</f>
        <v>mg/kg</v>
      </c>
      <c r="F21" s="40" t="str">
        <f>'ICP-OES Total Metals'!F21</f>
        <v>mg/kg</v>
      </c>
      <c r="G21" s="40" t="str">
        <f>'ICP-OES Total Metals'!G21</f>
        <v>mg/kg</v>
      </c>
      <c r="H21" s="40" t="str">
        <f>'ICP-OES Total Metals'!H21</f>
        <v>mg/kg</v>
      </c>
      <c r="I21" s="40" t="str">
        <f>'ICP-OES Total Metals'!I21</f>
        <v>mg/kg</v>
      </c>
      <c r="J21" s="40" t="str">
        <f>'ICP-OES Total Metals'!J21</f>
        <v>mg/kg</v>
      </c>
      <c r="K21" s="40" t="str">
        <f>'ICP-OES Total Metals'!K21</f>
        <v>mg/kg</v>
      </c>
      <c r="L21" s="40" t="str">
        <f>'ICP-OES Total Metals'!L21</f>
        <v>mg/kg</v>
      </c>
      <c r="M21" s="40" t="str">
        <f>'ICP-OES Total Metals'!M21</f>
        <v>mg/kg</v>
      </c>
      <c r="N21" s="40" t="str">
        <f>'ICP-OES Total Metals'!N21</f>
        <v>mg/kg</v>
      </c>
      <c r="O21" s="40" t="str">
        <f>'ICP-OES Total Metals'!O21</f>
        <v>mg/kg</v>
      </c>
      <c r="P21" s="40" t="str">
        <f>'ICP-OES Total Metals'!P21</f>
        <v>mg/kg</v>
      </c>
      <c r="Q21" s="40" t="str">
        <f>'ICP-OES Total Metals'!Q21</f>
        <v>mg/kg</v>
      </c>
      <c r="R21" s="40" t="str">
        <f>'ICP-OES Total Metals'!R21</f>
        <v>mg/kg</v>
      </c>
      <c r="S21" s="40" t="str">
        <f>'ICP-OES Total Metals'!S21</f>
        <v>mg/kg</v>
      </c>
      <c r="T21" s="40" t="str">
        <f>'ICP-OES Total Metals'!T21</f>
        <v>mg/kg</v>
      </c>
      <c r="U21" s="40" t="str">
        <f>'ICP-OES Total Metals'!U21</f>
        <v>mg/kg</v>
      </c>
      <c r="V21" s="40" t="str">
        <f>'ICP-OES Total Metals'!V21</f>
        <v>mg/kg</v>
      </c>
      <c r="W21" s="40" t="str">
        <f>'ICP-OES Total Metals'!W21</f>
        <v>mg/kg</v>
      </c>
      <c r="X21" s="40" t="str">
        <f>'ICP-OES Total Metals'!X21</f>
        <v>mg/kg</v>
      </c>
      <c r="Y21" s="40" t="str">
        <f>'ICP-OES Total Metals'!Y21</f>
        <v>mg/kg</v>
      </c>
      <c r="Z21" s="40" t="str">
        <f>'ICP-OES Total Metals'!Z21</f>
        <v>mg/kg</v>
      </c>
      <c r="AA21" s="40" t="str">
        <f>'ICP-OES Total Metals'!AA21</f>
        <v>mg/kg</v>
      </c>
      <c r="AB21" s="40" t="str">
        <f>'ICP-OES Total Metals'!AB21</f>
        <v>mg/kg</v>
      </c>
      <c r="AC21" s="40" t="str">
        <f>'ICP-OES Total Metals'!AC21</f>
        <v>mg/kg</v>
      </c>
      <c r="AD21" s="40" t="str">
        <f>'ICP-OES Total Metals'!AD21</f>
        <v>mg/kg</v>
      </c>
      <c r="AE21" s="40" t="str">
        <f>'ICP-OES Total Metals'!AE21</f>
        <v>mg/kg</v>
      </c>
    </row>
    <row r="22" spans="1:31" s="19" customFormat="1" ht="3.75" customHeight="1" x14ac:dyDescent="0.25">
      <c r="A22" s="18"/>
      <c r="B22" s="18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1" customFormat="1" ht="15.75" thickBot="1" x14ac:dyDescent="0.3">
      <c r="A23" s="11" t="str">
        <f>'Raw ICP-OES Data'!A19</f>
        <v>Total Metals after Acid Digestion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65" customFormat="1" x14ac:dyDescent="0.25">
      <c r="A24" s="104" t="s">
        <v>203</v>
      </c>
      <c r="B24" s="45">
        <v>3</v>
      </c>
      <c r="C24" s="46" t="str">
        <f>IF(ISNUMBER('ICP-OES Total Metals'!C25),(AVERAGE('ICP-OES Total Metals'!C24:C26)),C$17)</f>
        <v>&lt;3.326</v>
      </c>
      <c r="D24" s="46">
        <f>IF(ISNUMBER('ICP-OES Total Metals'!D25),(AVERAGE('ICP-OES Total Metals'!D24:D26)),D$17)</f>
        <v>114946.83089108508</v>
      </c>
      <c r="E24" s="46">
        <f>IF(ISNUMBER('ICP-OES Total Metals'!E25),(AVERAGE('ICP-OES Total Metals'!E24:E26)),E$17)</f>
        <v>4.4268842914778714</v>
      </c>
      <c r="F24" s="46" t="str">
        <f>IF(ISNUMBER('ICP-OES Total Metals'!F25),(AVERAGE('ICP-OES Total Metals'!F24:F26)),F$17)</f>
        <v>&lt;14.7</v>
      </c>
      <c r="G24" s="46">
        <f>IF(ISNUMBER('ICP-OES Total Metals'!G25),(AVERAGE('ICP-OES Total Metals'!G24:G26)),G$17)</f>
        <v>3.1312419206332271</v>
      </c>
      <c r="H24" s="46" t="str">
        <f>IF(ISNUMBER('ICP-OES Total Metals'!H25),(AVERAGE('ICP-OES Total Metals'!H24:H26)),H$17)</f>
        <v>&lt;0.2</v>
      </c>
      <c r="I24" s="46">
        <f>IF(ISNUMBER('ICP-OES Total Metals'!I25),(AVERAGE('ICP-OES Total Metals'!I24:I26)),I$17)</f>
        <v>787.56699745638707</v>
      </c>
      <c r="J24" s="46" t="str">
        <f>IF(ISNUMBER('ICP-OES Total Metals'!J25),(AVERAGE('ICP-OES Total Metals'!J24:J26)),J$17)</f>
        <v>&lt;0.3</v>
      </c>
      <c r="K24" s="46" t="str">
        <f>IF(ISNUMBER('ICP-OES Total Metals'!K25),(AVERAGE('ICP-OES Total Metals'!K24:K26)),K$17)</f>
        <v>&lt;0.527</v>
      </c>
      <c r="L24" s="46">
        <f>IF(ISNUMBER('ICP-OES Total Metals'!L25),(AVERAGE('ICP-OES Total Metals'!L24:L26)),L$17)</f>
        <v>57.661322175783916</v>
      </c>
      <c r="M24" s="46">
        <f>IF(ISNUMBER('ICP-OES Total Metals'!M25),(AVERAGE('ICP-OES Total Metals'!M24:M26)),M$17)</f>
        <v>22.367669834426778</v>
      </c>
      <c r="N24" s="46">
        <f>IF(ISNUMBER('ICP-OES Total Metals'!N25),(AVERAGE('ICP-OES Total Metals'!N24:N26)),N$17)</f>
        <v>163264.71167212128</v>
      </c>
      <c r="O24" s="46">
        <f>IF(ISNUMBER('ICP-OES Total Metals'!O25),(AVERAGE('ICP-OES Total Metals'!O24:O26)),O$17)</f>
        <v>21.305626721944574</v>
      </c>
      <c r="P24" s="46">
        <f>IF(ISNUMBER('ICP-OES Total Metals'!P25),(AVERAGE('ICP-OES Total Metals'!P24:P26)),P$17)</f>
        <v>378.00275991914867</v>
      </c>
      <c r="Q24" s="46">
        <f>IF(ISNUMBER('ICP-OES Total Metals'!Q25),(AVERAGE('ICP-OES Total Metals'!Q24:Q26)),Q$17)</f>
        <v>520.7085917523674</v>
      </c>
      <c r="R24" s="46">
        <f>IF(ISNUMBER('ICP-OES Total Metals'!R25),(AVERAGE('ICP-OES Total Metals'!R24:R26)),R$17)</f>
        <v>320.22293546325773</v>
      </c>
      <c r="S24" s="46">
        <f>IF(ISNUMBER('ICP-OES Total Metals'!S25),(AVERAGE('ICP-OES Total Metals'!S24:S26)),S$17)</f>
        <v>4.9632385409723909</v>
      </c>
      <c r="T24" s="46">
        <f>IF(ISNUMBER('ICP-OES Total Metals'!T25),(AVERAGE('ICP-OES Total Metals'!T24:T26)),T$17)</f>
        <v>94878.91159618854</v>
      </c>
      <c r="U24" s="46">
        <f>IF(ISNUMBER('ICP-OES Total Metals'!U25),(AVERAGE('ICP-OES Total Metals'!U24:U26)),U$17)</f>
        <v>2893.8496695481463</v>
      </c>
      <c r="V24" s="46">
        <f>IF(ISNUMBER('ICP-OES Total Metals'!V25),(AVERAGE('ICP-OES Total Metals'!V24:V26)),V$17)</f>
        <v>2185.5474236913474</v>
      </c>
      <c r="W24" s="46">
        <f>IF(ISNUMBER('ICP-OES Total Metals'!W25),(AVERAGE('ICP-OES Total Metals'!W24:W26)),W$17)</f>
        <v>2.6441960352836174</v>
      </c>
      <c r="X24" s="46">
        <f>IF(ISNUMBER('ICP-OES Total Metals'!X25),(AVERAGE('ICP-OES Total Metals'!X24:X26)),X$17)</f>
        <v>860.69980801277427</v>
      </c>
      <c r="Y24" s="46">
        <f>IF(ISNUMBER('ICP-OES Total Metals'!Y25),(AVERAGE('ICP-OES Total Metals'!Y24:Y26)),Y$17)</f>
        <v>9.8700168616372324</v>
      </c>
      <c r="Z24" s="46" t="str">
        <f>IF(ISNUMBER('ICP-OES Total Metals'!Z25),(AVERAGE('ICP-OES Total Metals'!Z24:Z26)),Z$17)</f>
        <v>&lt;4.5</v>
      </c>
      <c r="AA24" s="46">
        <f>IF(ISNUMBER('ICP-OES Total Metals'!AA25),(AVERAGE('ICP-OES Total Metals'!AA24:AA26)),AA$17)</f>
        <v>289.24364708903198</v>
      </c>
      <c r="AB24" s="46">
        <f>IF(ISNUMBER('ICP-OES Total Metals'!AB25),(AVERAGE('ICP-OES Total Metals'!AB24:AB26)),AB$17)</f>
        <v>15.299807354495892</v>
      </c>
      <c r="AC24" s="46">
        <f>IF(ISNUMBER('ICP-OES Total Metals'!AC25),(AVERAGE('ICP-OES Total Metals'!AC24:AC26)),AC$17)</f>
        <v>47.235041685182772</v>
      </c>
      <c r="AD24" s="46">
        <f>IF(ISNUMBER('ICP-OES Total Metals'!AD25),(AVERAGE('ICP-OES Total Metals'!AD24:AD26)),AD$17)</f>
        <v>16.039381040012117</v>
      </c>
      <c r="AE24" s="46">
        <f>IF(ISNUMBER('ICP-OES Total Metals'!AE25),(AVERAGE('ICP-OES Total Metals'!AE24:AE26)),AE$17)</f>
        <v>14.25332255405106</v>
      </c>
    </row>
    <row r="25" spans="1:31" s="22" customFormat="1" x14ac:dyDescent="0.2">
      <c r="A25" s="112"/>
      <c r="B25" s="54">
        <v>3</v>
      </c>
      <c r="C25" s="46" t="str">
        <f>IF(ISNUMBER('ICP-OES Total Metals'!C28),(AVERAGE('ICP-OES Total Metals'!C27:C29)),C$17)</f>
        <v>&lt;3.326</v>
      </c>
      <c r="D25" s="46" t="str">
        <f>IF(ISNUMBER('ICP-OES Total Metals'!D28),(AVERAGE('ICP-OES Total Metals'!D27:D29)),D$17)</f>
        <v>&lt;5.8</v>
      </c>
      <c r="E25" s="46" t="str">
        <f>IF(ISNUMBER('ICP-OES Total Metals'!E28),(AVERAGE('ICP-OES Total Metals'!E27:E29)),E$17)</f>
        <v>&lt;3.97</v>
      </c>
      <c r="F25" s="46" t="str">
        <f>IF(ISNUMBER('ICP-OES Total Metals'!F28),(AVERAGE('ICP-OES Total Metals'!F27:F29)),F$17)</f>
        <v>&lt;14.7</v>
      </c>
      <c r="G25" s="46" t="str">
        <f>IF(ISNUMBER('ICP-OES Total Metals'!G28),(AVERAGE('ICP-OES Total Metals'!G27:G29)),G$17)</f>
        <v>&lt;0.217</v>
      </c>
      <c r="H25" s="46" t="str">
        <f>IF(ISNUMBER('ICP-OES Total Metals'!H28),(AVERAGE('ICP-OES Total Metals'!H27:H29)),H$17)</f>
        <v>&lt;0.2</v>
      </c>
      <c r="I25" s="46" t="str">
        <f>IF(ISNUMBER('ICP-OES Total Metals'!I28),(AVERAGE('ICP-OES Total Metals'!I27:I29)),I$17)</f>
        <v>&lt;4.358</v>
      </c>
      <c r="J25" s="46" t="str">
        <f>IF(ISNUMBER('ICP-OES Total Metals'!J28),(AVERAGE('ICP-OES Total Metals'!J27:J29)),J$17)</f>
        <v>&lt;0.3</v>
      </c>
      <c r="K25" s="46" t="str">
        <f>IF(ISNUMBER('ICP-OES Total Metals'!K28),(AVERAGE('ICP-OES Total Metals'!K27:K29)),K$17)</f>
        <v>&lt;0.527</v>
      </c>
      <c r="L25" s="46" t="str">
        <f>IF(ISNUMBER('ICP-OES Total Metals'!L28),(AVERAGE('ICP-OES Total Metals'!L27:L29)),L$17)</f>
        <v>&lt;0.43</v>
      </c>
      <c r="M25" s="46" t="str">
        <f>IF(ISNUMBER('ICP-OES Total Metals'!M28),(AVERAGE('ICP-OES Total Metals'!M27:M29)),M$17)</f>
        <v>&lt;1.129</v>
      </c>
      <c r="N25" s="46" t="str">
        <f>IF(ISNUMBER('ICP-OES Total Metals'!N28),(AVERAGE('ICP-OES Total Metals'!N27:N29)),N$17)</f>
        <v>&lt;1.81</v>
      </c>
      <c r="O25" s="46" t="str">
        <f>IF(ISNUMBER('ICP-OES Total Metals'!O28),(AVERAGE('ICP-OES Total Metals'!O27:O29)),O$17)</f>
        <v>&lt;62.4</v>
      </c>
      <c r="P25" s="46" t="str">
        <f>IF(ISNUMBER('ICP-OES Total Metals'!P28),(AVERAGE('ICP-OES Total Metals'!P27:P29)),P$17)</f>
        <v>&lt;1.9</v>
      </c>
      <c r="Q25" s="46" t="str">
        <f>IF(ISNUMBER('ICP-OES Total Metals'!Q28),(AVERAGE('ICP-OES Total Metals'!Q27:Q29)),Q$17)</f>
        <v>&lt;4.1</v>
      </c>
      <c r="R25" s="46" t="str">
        <f>IF(ISNUMBER('ICP-OES Total Metals'!R28),(AVERAGE('ICP-OES Total Metals'!R27:R29)),R$17)</f>
        <v>&lt;0.54</v>
      </c>
      <c r="S25" s="46" t="str">
        <f>IF(ISNUMBER('ICP-OES Total Metals'!S28),(AVERAGE('ICP-OES Total Metals'!S27:S29)),S$17)</f>
        <v>&lt;0.586</v>
      </c>
      <c r="T25" s="46" t="str">
        <f>IF(ISNUMBER('ICP-OES Total Metals'!T28),(AVERAGE('ICP-OES Total Metals'!T27:T29)),T$17)</f>
        <v>&lt;2.1</v>
      </c>
      <c r="U25" s="46" t="str">
        <f>IF(ISNUMBER('ICP-OES Total Metals'!U28),(AVERAGE('ICP-OES Total Metals'!U27:U29)),U$17)</f>
        <v>&lt;1.19</v>
      </c>
      <c r="V25" s="46" t="str">
        <f>IF(ISNUMBER('ICP-OES Total Metals'!V28),(AVERAGE('ICP-OES Total Metals'!V27:V29)),V$17)</f>
        <v>&lt;5.37</v>
      </c>
      <c r="W25" s="46" t="str">
        <f>IF(ISNUMBER('ICP-OES Total Metals'!W28),(AVERAGE('ICP-OES Total Metals'!W27:W29)),W$17)</f>
        <v>&lt;2.9</v>
      </c>
      <c r="X25" s="46" t="str">
        <f>IF(ISNUMBER('ICP-OES Total Metals'!X28),(AVERAGE('ICP-OES Total Metals'!X27:X29)),X$17)</f>
        <v>&lt;5.2</v>
      </c>
      <c r="Y25" s="46" t="str">
        <f>IF(ISNUMBER('ICP-OES Total Metals'!Y28),(AVERAGE('ICP-OES Total Metals'!Y27:Y29)),Y$17)</f>
        <v>&lt;5.73</v>
      </c>
      <c r="Z25" s="46" t="str">
        <f>IF(ISNUMBER('ICP-OES Total Metals'!Z28),(AVERAGE('ICP-OES Total Metals'!Z27:Z29)),Z$17)</f>
        <v>&lt;4.5</v>
      </c>
      <c r="AA25" s="46" t="str">
        <f>IF(ISNUMBER('ICP-OES Total Metals'!AA28),(AVERAGE('ICP-OES Total Metals'!AA27:AA29)),AA$17)</f>
        <v>&lt;3.4</v>
      </c>
      <c r="AB25" s="46" t="str">
        <f>IF(ISNUMBER('ICP-OES Total Metals'!AB28),(AVERAGE('ICP-OES Total Metals'!AB27:AB29)),AB$17)</f>
        <v>&lt;0.153</v>
      </c>
      <c r="AC25" s="46" t="str">
        <f>IF(ISNUMBER('ICP-OES Total Metals'!AC28),(AVERAGE('ICP-OES Total Metals'!AC27:AC29)),AC$17)</f>
        <v>&lt;0.22</v>
      </c>
      <c r="AD25" s="46" t="str">
        <f>IF(ISNUMBER('ICP-OES Total Metals'!AD28),(AVERAGE('ICP-OES Total Metals'!AD27:AD29)),AD$17)</f>
        <v>&lt;1.46</v>
      </c>
      <c r="AE25" s="46" t="str">
        <f>IF(ISNUMBER('ICP-OES Total Metals'!AE28),(AVERAGE('ICP-OES Total Metals'!AE27:AE29)),AE$17)</f>
        <v>&lt;0.31</v>
      </c>
    </row>
    <row r="26" spans="1:31" s="22" customFormat="1" x14ac:dyDescent="0.2">
      <c r="A26" s="112"/>
      <c r="B26" s="45">
        <v>3</v>
      </c>
      <c r="C26" s="46" t="str">
        <f>IF(ISNUMBER('ICP-OES Total Metals'!C31),(AVERAGE('ICP-OES Total Metals'!C30:C32)),C$17)</f>
        <v>&lt;3.326</v>
      </c>
      <c r="D26" s="46" t="str">
        <f>IF(ISNUMBER('ICP-OES Total Metals'!D31),(AVERAGE('ICP-OES Total Metals'!D30:D32)),D$17)</f>
        <v>&lt;5.8</v>
      </c>
      <c r="E26" s="46" t="str">
        <f>IF(ISNUMBER('ICP-OES Total Metals'!E31),(AVERAGE('ICP-OES Total Metals'!E30:E32)),E$17)</f>
        <v>&lt;3.97</v>
      </c>
      <c r="F26" s="46" t="str">
        <f>IF(ISNUMBER('ICP-OES Total Metals'!F31),(AVERAGE('ICP-OES Total Metals'!F30:F32)),F$17)</f>
        <v>&lt;14.7</v>
      </c>
      <c r="G26" s="46" t="str">
        <f>IF(ISNUMBER('ICP-OES Total Metals'!G31),(AVERAGE('ICP-OES Total Metals'!G30:G32)),G$17)</f>
        <v>&lt;0.217</v>
      </c>
      <c r="H26" s="46" t="str">
        <f>IF(ISNUMBER('ICP-OES Total Metals'!H31),(AVERAGE('ICP-OES Total Metals'!H30:H32)),H$17)</f>
        <v>&lt;0.2</v>
      </c>
      <c r="I26" s="46" t="str">
        <f>IF(ISNUMBER('ICP-OES Total Metals'!I31),(AVERAGE('ICP-OES Total Metals'!I30:I32)),I$17)</f>
        <v>&lt;4.358</v>
      </c>
      <c r="J26" s="46" t="str">
        <f>IF(ISNUMBER('ICP-OES Total Metals'!J31),(AVERAGE('ICP-OES Total Metals'!J30:J32)),J$17)</f>
        <v>&lt;0.3</v>
      </c>
      <c r="K26" s="46" t="str">
        <f>IF(ISNUMBER('ICP-OES Total Metals'!K31),(AVERAGE('ICP-OES Total Metals'!K30:K32)),K$17)</f>
        <v>&lt;0.527</v>
      </c>
      <c r="L26" s="46" t="str">
        <f>IF(ISNUMBER('ICP-OES Total Metals'!L31),(AVERAGE('ICP-OES Total Metals'!L30:L32)),L$17)</f>
        <v>&lt;0.43</v>
      </c>
      <c r="M26" s="46" t="str">
        <f>IF(ISNUMBER('ICP-OES Total Metals'!M31),(AVERAGE('ICP-OES Total Metals'!M30:M32)),M$17)</f>
        <v>&lt;1.129</v>
      </c>
      <c r="N26" s="46" t="str">
        <f>IF(ISNUMBER('ICP-OES Total Metals'!N31),(AVERAGE('ICP-OES Total Metals'!N30:N32)),N$17)</f>
        <v>&lt;1.81</v>
      </c>
      <c r="O26" s="46" t="str">
        <f>IF(ISNUMBER('ICP-OES Total Metals'!O31),(AVERAGE('ICP-OES Total Metals'!O30:O32)),O$17)</f>
        <v>&lt;62.4</v>
      </c>
      <c r="P26" s="46" t="str">
        <f>IF(ISNUMBER('ICP-OES Total Metals'!P31),(AVERAGE('ICP-OES Total Metals'!P30:P32)),P$17)</f>
        <v>&lt;1.9</v>
      </c>
      <c r="Q26" s="46" t="str">
        <f>IF(ISNUMBER('ICP-OES Total Metals'!Q31),(AVERAGE('ICP-OES Total Metals'!Q30:Q32)),Q$17)</f>
        <v>&lt;4.1</v>
      </c>
      <c r="R26" s="46" t="str">
        <f>IF(ISNUMBER('ICP-OES Total Metals'!R31),(AVERAGE('ICP-OES Total Metals'!R30:R32)),R$17)</f>
        <v>&lt;0.54</v>
      </c>
      <c r="S26" s="46" t="str">
        <f>IF(ISNUMBER('ICP-OES Total Metals'!S31),(AVERAGE('ICP-OES Total Metals'!S30:S32)),S$17)</f>
        <v>&lt;0.586</v>
      </c>
      <c r="T26" s="46" t="str">
        <f>IF(ISNUMBER('ICP-OES Total Metals'!T31),(AVERAGE('ICP-OES Total Metals'!T30:T32)),T$17)</f>
        <v>&lt;2.1</v>
      </c>
      <c r="U26" s="46" t="str">
        <f>IF(ISNUMBER('ICP-OES Total Metals'!U31),(AVERAGE('ICP-OES Total Metals'!U30:U32)),U$17)</f>
        <v>&lt;1.19</v>
      </c>
      <c r="V26" s="46" t="str">
        <f>IF(ISNUMBER('ICP-OES Total Metals'!V31),(AVERAGE('ICP-OES Total Metals'!V30:V32)),V$17)</f>
        <v>&lt;5.37</v>
      </c>
      <c r="W26" s="46" t="str">
        <f>IF(ISNUMBER('ICP-OES Total Metals'!W31),(AVERAGE('ICP-OES Total Metals'!W30:W32)),W$17)</f>
        <v>&lt;2.9</v>
      </c>
      <c r="X26" s="46" t="str">
        <f>IF(ISNUMBER('ICP-OES Total Metals'!X31),(AVERAGE('ICP-OES Total Metals'!X30:X32)),X$17)</f>
        <v>&lt;5.2</v>
      </c>
      <c r="Y26" s="46" t="str">
        <f>IF(ISNUMBER('ICP-OES Total Metals'!Y31),(AVERAGE('ICP-OES Total Metals'!Y30:Y32)),Y$17)</f>
        <v>&lt;5.73</v>
      </c>
      <c r="Z26" s="46" t="str">
        <f>IF(ISNUMBER('ICP-OES Total Metals'!Z31),(AVERAGE('ICP-OES Total Metals'!Z30:Z32)),Z$17)</f>
        <v>&lt;4.5</v>
      </c>
      <c r="AA26" s="46" t="str">
        <f>IF(ISNUMBER('ICP-OES Total Metals'!AA31),(AVERAGE('ICP-OES Total Metals'!AA30:AA32)),AA$17)</f>
        <v>&lt;3.4</v>
      </c>
      <c r="AB26" s="46" t="str">
        <f>IF(ISNUMBER('ICP-OES Total Metals'!AB31),(AVERAGE('ICP-OES Total Metals'!AB30:AB32)),AB$17)</f>
        <v>&lt;0.153</v>
      </c>
      <c r="AC26" s="46" t="str">
        <f>IF(ISNUMBER('ICP-OES Total Metals'!AC31),(AVERAGE('ICP-OES Total Metals'!AC30:AC32)),AC$17)</f>
        <v>&lt;0.22</v>
      </c>
      <c r="AD26" s="46" t="str">
        <f>IF(ISNUMBER('ICP-OES Total Metals'!AD31),(AVERAGE('ICP-OES Total Metals'!AD30:AD32)),AD$17)</f>
        <v>&lt;1.46</v>
      </c>
      <c r="AE26" s="46" t="str">
        <f>IF(ISNUMBER('ICP-OES Total Metals'!AE31),(AVERAGE('ICP-OES Total Metals'!AE30:AE32)),AE$17)</f>
        <v>&lt;0.31</v>
      </c>
    </row>
    <row r="27" spans="1:31" s="22" customFormat="1" x14ac:dyDescent="0.25">
      <c r="A27" s="104"/>
      <c r="B27" s="45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</row>
    <row r="28" spans="1:31" s="22" customFormat="1" x14ac:dyDescent="0.25">
      <c r="A28" s="104"/>
      <c r="B28" s="45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</row>
    <row r="29" spans="1:31" s="22" customFormat="1" x14ac:dyDescent="0.25">
      <c r="A29" s="104"/>
      <c r="B29" s="45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</row>
    <row r="30" spans="1:31" x14ac:dyDescent="0.25">
      <c r="A30" s="26"/>
      <c r="B30" s="26"/>
      <c r="C30" s="4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x14ac:dyDescent="0.25">
      <c r="A31" s="26"/>
      <c r="B31" s="2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</row>
    <row r="32" spans="1:31" s="62" customFormat="1" x14ac:dyDescent="0.25">
      <c r="A32" s="51"/>
      <c r="B32" s="109"/>
      <c r="C32" s="110"/>
      <c r="D32" s="110"/>
      <c r="E32" s="110"/>
      <c r="F32" s="110"/>
      <c r="G32" s="110"/>
      <c r="H32" s="110"/>
      <c r="I32" s="110"/>
      <c r="J32" s="110"/>
      <c r="K32" s="110"/>
      <c r="L32" s="111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</row>
    <row r="33" spans="1:52" x14ac:dyDescent="0.25"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</row>
    <row r="34" spans="1:52" s="51" customFormat="1" x14ac:dyDescent="0.25">
      <c r="A34" s="104" t="s">
        <v>125</v>
      </c>
      <c r="B34" s="51">
        <v>1</v>
      </c>
      <c r="C34" s="46" t="s">
        <v>100</v>
      </c>
      <c r="D34" s="46">
        <v>16779.618768328444</v>
      </c>
      <c r="E34" s="46">
        <v>8.895405669599219</v>
      </c>
      <c r="F34" s="46">
        <v>30.009775171065495</v>
      </c>
      <c r="G34" s="46">
        <v>360.36168132942322</v>
      </c>
      <c r="H34" s="46">
        <v>2.3949169110459434</v>
      </c>
      <c r="I34" s="46">
        <v>12876.930596285434</v>
      </c>
      <c r="J34" s="46">
        <v>0.58651026392961869</v>
      </c>
      <c r="K34" s="46">
        <v>4.56989247311828</v>
      </c>
      <c r="L34" s="46">
        <v>62.145650048875865</v>
      </c>
      <c r="M34" s="46">
        <v>29.056695992179865</v>
      </c>
      <c r="N34" s="46">
        <v>24580.791788856302</v>
      </c>
      <c r="O34" s="46">
        <v>3135.4105571847508</v>
      </c>
      <c r="P34" s="46">
        <v>27.37047898338221</v>
      </c>
      <c r="Q34" s="46">
        <v>10979.985337243403</v>
      </c>
      <c r="R34" s="46">
        <v>424.92668621700875</v>
      </c>
      <c r="S34" s="46">
        <v>1.2218963831867058</v>
      </c>
      <c r="T34" s="46">
        <v>483.18670576735093</v>
      </c>
      <c r="U34" s="46">
        <v>67.644183773216028</v>
      </c>
      <c r="V34" s="46">
        <v>581.81818181818176</v>
      </c>
      <c r="W34" s="46">
        <v>10.410557184750733</v>
      </c>
      <c r="X34" s="46">
        <v>531.67155425219948</v>
      </c>
      <c r="Y34" s="46">
        <v>3.8856304985337244</v>
      </c>
      <c r="Z34" s="46" t="s">
        <v>102</v>
      </c>
      <c r="AA34" s="46">
        <v>432.08699902248287</v>
      </c>
      <c r="AB34" s="46">
        <v>92.473118279569903</v>
      </c>
      <c r="AC34" s="46">
        <v>224.85337243401761</v>
      </c>
      <c r="AD34" s="46">
        <v>53.958944281524921</v>
      </c>
      <c r="AE34" s="46">
        <v>83.797653958944281</v>
      </c>
    </row>
    <row r="35" spans="1:52" s="45" customFormat="1" x14ac:dyDescent="0.25">
      <c r="A35" s="67" t="s">
        <v>24</v>
      </c>
      <c r="B35" s="67" t="s">
        <v>25</v>
      </c>
      <c r="C35" s="69" t="s">
        <v>26</v>
      </c>
      <c r="D35" s="70">
        <f>7.37*10000</f>
        <v>73700</v>
      </c>
      <c r="E35" s="69">
        <f>10.5</f>
        <v>10.5</v>
      </c>
      <c r="F35" s="67">
        <f>74</f>
        <v>74</v>
      </c>
      <c r="G35" s="70">
        <f>979</f>
        <v>979</v>
      </c>
      <c r="H35" s="69">
        <v>0.61</v>
      </c>
      <c r="I35" s="70">
        <f>1.91*10000</f>
        <v>19100</v>
      </c>
      <c r="J35" s="69">
        <v>0.371</v>
      </c>
      <c r="K35" s="71">
        <f>12.8</f>
        <v>12.8</v>
      </c>
      <c r="L35" s="70">
        <f>130</f>
        <v>130</v>
      </c>
      <c r="M35" s="67">
        <f>33.9</f>
        <v>33.9</v>
      </c>
      <c r="N35" s="70">
        <f>3.36*10000</f>
        <v>33600</v>
      </c>
      <c r="O35" s="70">
        <f>2.11*10000</f>
        <v>21100</v>
      </c>
      <c r="P35" s="70">
        <f>1.46*10000</f>
        <v>14600</v>
      </c>
      <c r="Q35" s="70">
        <f>529</f>
        <v>529</v>
      </c>
      <c r="R35" s="72" t="s">
        <v>26</v>
      </c>
      <c r="S35" s="70">
        <f>1.22*10000</f>
        <v>12200</v>
      </c>
      <c r="T35" s="71">
        <f>85</f>
        <v>85</v>
      </c>
      <c r="U35" s="70">
        <f>0.0688*10000</f>
        <v>688</v>
      </c>
      <c r="V35" s="71">
        <f>0.00173*10000</f>
        <v>17.3</v>
      </c>
      <c r="W35" s="70" t="s">
        <v>26</v>
      </c>
      <c r="X35" s="69">
        <f>1.55</f>
        <v>1.55</v>
      </c>
      <c r="Y35" s="67">
        <f>1.5</f>
        <v>1.5</v>
      </c>
      <c r="Z35" s="70">
        <f>30.3*10000</f>
        <v>303000</v>
      </c>
      <c r="AA35" s="70">
        <f>239</f>
        <v>239</v>
      </c>
      <c r="AB35" s="70">
        <f>0.336*10000</f>
        <v>3360</v>
      </c>
      <c r="AC35" s="71">
        <f>110</f>
        <v>110</v>
      </c>
      <c r="AD35" s="70">
        <f>103</f>
        <v>103</v>
      </c>
      <c r="AE35" s="70">
        <f>103</f>
        <v>103</v>
      </c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</row>
    <row r="36" spans="1:52" s="45" customFormat="1" x14ac:dyDescent="0.25">
      <c r="A36" s="67"/>
      <c r="B36" s="67" t="s">
        <v>27</v>
      </c>
      <c r="C36" s="73" t="s">
        <v>28</v>
      </c>
      <c r="D36" s="77" t="s">
        <v>29</v>
      </c>
      <c r="E36" s="73" t="s">
        <v>30</v>
      </c>
      <c r="F36" s="67" t="s">
        <v>26</v>
      </c>
      <c r="G36" s="80" t="s">
        <v>31</v>
      </c>
      <c r="H36" s="77" t="s">
        <v>99</v>
      </c>
      <c r="I36" s="77" t="s">
        <v>32</v>
      </c>
      <c r="J36" s="80" t="s">
        <v>33</v>
      </c>
      <c r="K36" s="73" t="s">
        <v>34</v>
      </c>
      <c r="L36" s="80" t="s">
        <v>35</v>
      </c>
      <c r="M36" s="75" t="s">
        <v>36</v>
      </c>
      <c r="N36" s="77" t="s">
        <v>37</v>
      </c>
      <c r="O36" s="77" t="s">
        <v>38</v>
      </c>
      <c r="P36" s="77" t="s">
        <v>39</v>
      </c>
      <c r="Q36" s="77" t="s">
        <v>40</v>
      </c>
      <c r="R36" s="72" t="s">
        <v>26</v>
      </c>
      <c r="S36" s="80" t="s">
        <v>41</v>
      </c>
      <c r="T36" s="80" t="s">
        <v>42</v>
      </c>
      <c r="U36" s="70" t="s">
        <v>26</v>
      </c>
      <c r="V36" s="77" t="s">
        <v>43</v>
      </c>
      <c r="W36" s="70" t="s">
        <v>26</v>
      </c>
      <c r="X36" s="73" t="s">
        <v>44</v>
      </c>
      <c r="Y36" s="75" t="s">
        <v>45</v>
      </c>
      <c r="Z36" s="70" t="s">
        <v>26</v>
      </c>
      <c r="AA36" s="70" t="s">
        <v>26</v>
      </c>
      <c r="AB36" s="70" t="s">
        <v>26</v>
      </c>
      <c r="AC36" s="80" t="s">
        <v>46</v>
      </c>
      <c r="AD36" s="77" t="s">
        <v>47</v>
      </c>
      <c r="AE36" s="77" t="s">
        <v>98</v>
      </c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</row>
    <row r="37" spans="1:52" s="45" customFormat="1" x14ac:dyDescent="0.25">
      <c r="A37" s="67"/>
      <c r="B37" s="67" t="s">
        <v>48</v>
      </c>
      <c r="C37" s="73" t="s">
        <v>49</v>
      </c>
      <c r="D37" s="78">
        <v>0.22</v>
      </c>
      <c r="E37" s="78">
        <v>0.74</v>
      </c>
      <c r="F37" s="78" t="s">
        <v>26</v>
      </c>
      <c r="G37" s="78">
        <v>0.39</v>
      </c>
      <c r="H37" s="103" t="s">
        <v>49</v>
      </c>
      <c r="I37" s="78">
        <v>0.65</v>
      </c>
      <c r="J37" s="78">
        <f>1.1</f>
        <v>1.1000000000000001</v>
      </c>
      <c r="K37" s="78">
        <v>0.81</v>
      </c>
      <c r="L37" s="78">
        <v>0.41</v>
      </c>
      <c r="M37" s="78">
        <v>0.81</v>
      </c>
      <c r="N37" s="78">
        <v>0.7</v>
      </c>
      <c r="O37" s="78">
        <v>0.14000000000000001</v>
      </c>
      <c r="P37" s="78">
        <v>0.71</v>
      </c>
      <c r="Q37" s="78">
        <v>0.79</v>
      </c>
      <c r="R37" s="78" t="s">
        <v>26</v>
      </c>
      <c r="S37" s="78">
        <v>0.04</v>
      </c>
      <c r="T37" s="78">
        <v>0.77</v>
      </c>
      <c r="U37" s="78" t="s">
        <v>26</v>
      </c>
      <c r="V37" s="78">
        <v>0.53</v>
      </c>
      <c r="W37" s="78" t="s">
        <v>26</v>
      </c>
      <c r="X37" s="78">
        <v>0.88</v>
      </c>
      <c r="Y37" s="78">
        <v>0.63</v>
      </c>
      <c r="Z37" s="78" t="s">
        <v>26</v>
      </c>
      <c r="AA37" s="78" t="s">
        <v>26</v>
      </c>
      <c r="AB37" s="78" t="s">
        <v>26</v>
      </c>
      <c r="AC37" s="78">
        <v>0.44</v>
      </c>
      <c r="AD37" s="78">
        <v>0.77</v>
      </c>
      <c r="AE37" s="78">
        <v>2.77</v>
      </c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</row>
    <row r="38" spans="1:52" s="45" customFormat="1" x14ac:dyDescent="0.25">
      <c r="A38" s="66"/>
      <c r="B38" s="79" t="s">
        <v>50</v>
      </c>
      <c r="C38" s="68"/>
      <c r="D38" s="68">
        <f>IF(ISNUMBER(ABS((D34)/((D35)))),ABS((D34)/((D35))),(IF(ISERROR(D34+0),IF(ISERROR(D35+0),"",D35-0),D34-0)))</f>
        <v>0.22767461015371024</v>
      </c>
      <c r="E38" s="68">
        <f t="shared" ref="E38:AE38" si="18">IF(ISNUMBER(ABS((E34)/((E35)))),ABS((E34)/((E35))),(IF(ISERROR(E34+0),IF(ISERROR(E35+0),"",E35-0),E34-0)))</f>
        <v>0.84718149234278273</v>
      </c>
      <c r="F38" s="68">
        <f t="shared" si="18"/>
        <v>0.40553750231169589</v>
      </c>
      <c r="G38" s="68">
        <f t="shared" si="18"/>
        <v>0.36809160503516164</v>
      </c>
      <c r="H38" s="68">
        <f t="shared" si="18"/>
        <v>3.9260932967966284</v>
      </c>
      <c r="I38" s="68">
        <f t="shared" si="18"/>
        <v>0.67418484797305933</v>
      </c>
      <c r="J38" s="68">
        <f t="shared" si="18"/>
        <v>1.5808901992712094</v>
      </c>
      <c r="K38" s="68">
        <f t="shared" si="18"/>
        <v>0.35702284946236562</v>
      </c>
      <c r="L38" s="68">
        <f t="shared" si="18"/>
        <v>0.47804346191442976</v>
      </c>
      <c r="M38" s="68">
        <f t="shared" si="18"/>
        <v>0.85712967528554174</v>
      </c>
      <c r="N38" s="68">
        <f t="shared" si="18"/>
        <v>0.73157118419215184</v>
      </c>
      <c r="O38" s="68">
        <f t="shared" si="18"/>
        <v>0.14859765673861378</v>
      </c>
      <c r="P38" s="68">
        <f t="shared" si="18"/>
        <v>1.8746903413275485E-3</v>
      </c>
      <c r="Q38" s="68">
        <f t="shared" si="18"/>
        <v>20.756115949420423</v>
      </c>
      <c r="R38" s="68">
        <f t="shared" si="18"/>
        <v>424.92668621700875</v>
      </c>
      <c r="S38" s="68">
        <f t="shared" si="18"/>
        <v>1.0015544124481195E-4</v>
      </c>
      <c r="T38" s="68">
        <f t="shared" si="18"/>
        <v>5.6845494796158933</v>
      </c>
      <c r="U38" s="68">
        <f t="shared" si="18"/>
        <v>9.8320034554093064E-2</v>
      </c>
      <c r="V38" s="68">
        <f t="shared" si="18"/>
        <v>33.631108775617442</v>
      </c>
      <c r="W38" s="68">
        <f t="shared" si="18"/>
        <v>10.410557184750733</v>
      </c>
      <c r="X38" s="68">
        <f t="shared" si="18"/>
        <v>343.01390596916093</v>
      </c>
      <c r="Y38" s="68">
        <f t="shared" si="18"/>
        <v>2.5904203323558161</v>
      </c>
      <c r="Z38" s="68">
        <f t="shared" si="18"/>
        <v>303000</v>
      </c>
      <c r="AA38" s="68">
        <f t="shared" si="18"/>
        <v>1.8078953933995099</v>
      </c>
      <c r="AB38" s="68">
        <f t="shared" si="18"/>
        <v>2.7521761392729136E-2</v>
      </c>
      <c r="AC38" s="68">
        <f t="shared" si="18"/>
        <v>2.0441215675819784</v>
      </c>
      <c r="AD38" s="68">
        <f t="shared" si="18"/>
        <v>0.52387324545169822</v>
      </c>
      <c r="AE38" s="68">
        <f t="shared" si="18"/>
        <v>0.81356945591208041</v>
      </c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</row>
    <row r="39" spans="1:52" s="45" customForma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</row>
    <row r="40" spans="1:52" s="45" customFormat="1" x14ac:dyDescent="0.25">
      <c r="A40" s="51"/>
      <c r="B40" s="2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</row>
    <row r="41" spans="1:52" s="45" customForma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</row>
    <row r="42" spans="1:52" x14ac:dyDescent="0.25">
      <c r="A42" s="74" t="s">
        <v>51</v>
      </c>
      <c r="B42" s="76" t="s">
        <v>52</v>
      </c>
    </row>
    <row r="45" spans="1:52" x14ac:dyDescent="0.25">
      <c r="E45" s="123">
        <f>AVERAGE('ICP-OES Total Metals'!E24:E26)</f>
        <v>4.4268842914778714</v>
      </c>
      <c r="I45" s="123">
        <f>AVERAGE('ICP-OES Total Metals'!I24:I26)</f>
        <v>787.56699745638707</v>
      </c>
    </row>
  </sheetData>
  <mergeCells count="2">
    <mergeCell ref="A20:A21"/>
    <mergeCell ref="B20:B21"/>
  </mergeCells>
  <phoneticPr fontId="11" type="noConversion"/>
  <conditionalFormatting sqref="C32:AE32">
    <cfRule type="cellIs" dxfId="3" priority="9" operator="greaterThan">
      <formula>0.1</formula>
    </cfRule>
  </conditionalFormatting>
  <conditionalFormatting sqref="C38">
    <cfRule type="cellIs" dxfId="2" priority="8" operator="greaterThan">
      <formula>0.1</formula>
    </cfRule>
  </conditionalFormatting>
  <conditionalFormatting sqref="D38:AE38">
    <cfRule type="cellIs" dxfId="1" priority="2" operator="greaterThan">
      <formula>0.1</formula>
    </cfRule>
  </conditionalFormatting>
  <pageMargins left="0.7" right="0.7" top="0.75" bottom="0.75" header="0.3" footer="0.3"/>
  <pageSetup orientation="portrait" r:id="rId1"/>
  <ignoredErrors>
    <ignoredError sqref="A9:A11 A6:A7 A1:A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EF2FC-1BDE-4AD1-A893-5BCDBD0ABFC3}">
  <dimension ref="A1:AM67"/>
  <sheetViews>
    <sheetView topLeftCell="A17" workbookViewId="0">
      <selection activeCell="AG45" sqref="AG45:AM47"/>
    </sheetView>
  </sheetViews>
  <sheetFormatPr defaultColWidth="9.28515625" defaultRowHeight="15" x14ac:dyDescent="0.25"/>
  <cols>
    <col min="1" max="1" width="36.140625" style="2" customWidth="1"/>
    <col min="2" max="2" width="20.7109375" style="2" bestFit="1" customWidth="1"/>
    <col min="3" max="5" width="18" style="2" bestFit="1" customWidth="1"/>
    <col min="6" max="6" width="16.42578125" style="2" bestFit="1" customWidth="1"/>
    <col min="7" max="7" width="17.28515625" style="2" bestFit="1" customWidth="1"/>
    <col min="8" max="8" width="18" style="2" bestFit="1" customWidth="1"/>
    <col min="9" max="9" width="18.28515625" style="2" bestFit="1" customWidth="1"/>
    <col min="10" max="10" width="19" style="2" bestFit="1" customWidth="1"/>
    <col min="11" max="13" width="18.85546875" style="2" bestFit="1" customWidth="1"/>
    <col min="14" max="14" width="19" style="2" bestFit="1" customWidth="1"/>
    <col min="15" max="15" width="18.5703125" style="2" bestFit="1" customWidth="1"/>
    <col min="16" max="16" width="19.140625" style="2" bestFit="1" customWidth="1"/>
    <col min="17" max="17" width="19.5703125" style="2" bestFit="1" customWidth="1"/>
    <col min="18" max="18" width="19" style="2" bestFit="1" customWidth="1"/>
    <col min="19" max="19" width="19.140625" style="2" bestFit="1" customWidth="1"/>
    <col min="20" max="21" width="18.85546875" style="2" bestFit="1" customWidth="1"/>
    <col min="22" max="22" width="19.140625" style="2" bestFit="1" customWidth="1"/>
    <col min="23" max="23" width="18.5703125" style="2" bestFit="1" customWidth="1"/>
    <col min="24" max="24" width="19.42578125" style="2" bestFit="1" customWidth="1"/>
    <col min="25" max="26" width="18.85546875" style="2" bestFit="1" customWidth="1"/>
    <col min="27" max="27" width="18.5703125" style="2" bestFit="1" customWidth="1"/>
    <col min="28" max="28" width="18.85546875" style="2" bestFit="1" customWidth="1"/>
    <col min="29" max="29" width="18.28515625" style="2" bestFit="1" customWidth="1"/>
    <col min="30" max="30" width="18.42578125" style="2" bestFit="1" customWidth="1"/>
    <col min="31" max="31" width="18.85546875" style="2" bestFit="1" customWidth="1"/>
    <col min="32" max="32" width="18" style="2" bestFit="1" customWidth="1"/>
    <col min="33" max="34" width="19.140625" style="2" bestFit="1" customWidth="1"/>
    <col min="35" max="37" width="19" style="2" bestFit="1" customWidth="1"/>
    <col min="38" max="38" width="17.85546875" style="2" bestFit="1" customWidth="1"/>
    <col min="39" max="39" width="18.42578125" style="2" bestFit="1" customWidth="1"/>
    <col min="40" max="16384" width="9.28515625" style="2"/>
  </cols>
  <sheetData>
    <row r="1" spans="1:39" s="38" customFormat="1" ht="21.75" thickBot="1" x14ac:dyDescent="0.3">
      <c r="A1" s="37" t="s">
        <v>91</v>
      </c>
    </row>
    <row r="2" spans="1:39" ht="3.75" customHeight="1" x14ac:dyDescent="0.25">
      <c r="A2" s="1"/>
    </row>
    <row r="3" spans="1:39" x14ac:dyDescent="0.25">
      <c r="A3" s="3" t="s">
        <v>127</v>
      </c>
    </row>
    <row r="4" spans="1:39" x14ac:dyDescent="0.25">
      <c r="A4" s="82" t="s">
        <v>128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39" x14ac:dyDescent="0.25">
      <c r="A5" s="3" t="s">
        <v>129</v>
      </c>
    </row>
    <row r="6" spans="1:39" x14ac:dyDescent="0.25">
      <c r="A6" s="3" t="s">
        <v>6</v>
      </c>
    </row>
    <row r="7" spans="1:39" x14ac:dyDescent="0.25">
      <c r="A7" s="3" t="s">
        <v>92</v>
      </c>
    </row>
    <row r="8" spans="1:39" x14ac:dyDescent="0.25">
      <c r="A8" s="3" t="s">
        <v>7</v>
      </c>
    </row>
    <row r="9" spans="1:39" x14ac:dyDescent="0.25">
      <c r="A9" s="3" t="s">
        <v>8</v>
      </c>
    </row>
    <row r="10" spans="1:39" ht="12.75" customHeight="1" x14ac:dyDescent="0.25">
      <c r="A10" s="4"/>
    </row>
    <row r="11" spans="1:39" ht="12.75" customHeight="1" x14ac:dyDescent="0.25">
      <c r="A11" s="24" t="s">
        <v>97</v>
      </c>
    </row>
    <row r="12" spans="1:39" ht="3.75" customHeight="1" thickBot="1" x14ac:dyDescent="0.3"/>
    <row r="13" spans="1:39" ht="15" customHeight="1" x14ac:dyDescent="0.25">
      <c r="B13" s="88" t="s">
        <v>90</v>
      </c>
      <c r="C13" s="12">
        <v>3.3255313645591529E-3</v>
      </c>
      <c r="D13" s="89">
        <v>5.817279764632261E-3</v>
      </c>
      <c r="E13" s="89">
        <v>3.9661384275724255E-3</v>
      </c>
      <c r="F13" s="89">
        <v>1.4698196338553474E-2</v>
      </c>
      <c r="G13" s="12">
        <v>2.1688760530130192E-4</v>
      </c>
      <c r="H13" s="12">
        <v>1.8146118960629933E-4</v>
      </c>
      <c r="I13" s="89">
        <v>4.357768029240045E-3</v>
      </c>
      <c r="J13" s="12">
        <v>3.0672539292772398E-4</v>
      </c>
      <c r="K13" s="12">
        <v>5.2681816281015465E-4</v>
      </c>
      <c r="L13" s="89">
        <v>4.3377521060260378E-4</v>
      </c>
      <c r="M13" s="12">
        <v>1.129066128857532E-3</v>
      </c>
      <c r="N13" s="12">
        <v>1.8146118960629934E-3</v>
      </c>
      <c r="O13" s="90">
        <v>6.2369574885195428E-2</v>
      </c>
      <c r="P13" s="90">
        <v>1.8657377271917579E-3</v>
      </c>
      <c r="Q13" s="89">
        <v>4.1413607755583599E-3</v>
      </c>
      <c r="R13" s="12">
        <v>5.4004578200988367E-4</v>
      </c>
      <c r="S13" s="12">
        <v>5.8599804038352661E-4</v>
      </c>
      <c r="T13" s="89">
        <v>2.1117324925283513E-3</v>
      </c>
      <c r="U13" s="12">
        <v>1.1879423386680005E-3</v>
      </c>
      <c r="V13" s="12">
        <v>5.3703228074918037E-3</v>
      </c>
      <c r="W13" s="89">
        <v>2.8543595452103321E-3</v>
      </c>
      <c r="X13" s="12">
        <v>5.2039468031485486E-3</v>
      </c>
      <c r="Y13" s="12">
        <v>5.7259970863888249E-3</v>
      </c>
      <c r="Z13" s="12">
        <v>4.4953847710735503E-3</v>
      </c>
      <c r="AA13" s="12">
        <v>3.4086562797286165E-3</v>
      </c>
      <c r="AB13" s="12">
        <v>1.5336269646386205E-4</v>
      </c>
      <c r="AC13" s="12">
        <v>2.1688760530130192E-4</v>
      </c>
      <c r="AD13" s="12">
        <v>1.45654197444953E-3</v>
      </c>
      <c r="AE13" s="55">
        <v>3.0672539292772409E-4</v>
      </c>
    </row>
    <row r="14" spans="1:39" s="17" customFormat="1" ht="15" customHeight="1" thickBot="1" x14ac:dyDescent="0.3">
      <c r="B14" s="91" t="s">
        <v>9</v>
      </c>
      <c r="C14" s="16">
        <v>3.3255313645591526E-2</v>
      </c>
      <c r="D14" s="92">
        <v>5.8172797646322612E-2</v>
      </c>
      <c r="E14" s="16">
        <v>3.9661384275724257E-2</v>
      </c>
      <c r="F14" s="93">
        <v>0.14698196338553474</v>
      </c>
      <c r="G14" s="16">
        <v>2.168876053013019E-3</v>
      </c>
      <c r="H14" s="16">
        <v>1.8146118960629934E-3</v>
      </c>
      <c r="I14" s="92">
        <v>4.3577680292400452E-2</v>
      </c>
      <c r="J14" s="16">
        <v>3.06725392927724E-3</v>
      </c>
      <c r="K14" s="16">
        <v>5.2681816281015467E-3</v>
      </c>
      <c r="L14" s="93">
        <v>4.3377521060260381E-3</v>
      </c>
      <c r="M14" s="16">
        <v>1.129066128857532E-2</v>
      </c>
      <c r="N14" s="93">
        <v>1.8146118960629933E-2</v>
      </c>
      <c r="O14" s="92">
        <v>0.62369574885195433</v>
      </c>
      <c r="P14" s="92">
        <v>1.8657377271917578E-2</v>
      </c>
      <c r="Q14" s="92">
        <v>4.1413607755583601E-2</v>
      </c>
      <c r="R14" s="16">
        <v>5.4004578200988369E-3</v>
      </c>
      <c r="S14" s="16">
        <v>5.8599804038352663E-3</v>
      </c>
      <c r="T14" s="92">
        <v>2.1117324925283513E-2</v>
      </c>
      <c r="U14" s="16">
        <v>1.1879423386680006E-2</v>
      </c>
      <c r="V14" s="16">
        <v>5.3703228074918036E-2</v>
      </c>
      <c r="W14" s="93">
        <v>2.8543595452103322E-2</v>
      </c>
      <c r="X14" s="16">
        <v>5.2039468031485486E-2</v>
      </c>
      <c r="Y14" s="16">
        <v>5.7259970863888246E-2</v>
      </c>
      <c r="Z14" s="92">
        <v>4.4953847710735503E-2</v>
      </c>
      <c r="AA14" s="16">
        <v>3.4086562797286168E-2</v>
      </c>
      <c r="AB14" s="16">
        <v>1.5336269646386205E-3</v>
      </c>
      <c r="AC14" s="16">
        <v>2.168876053013019E-3</v>
      </c>
      <c r="AD14" s="16">
        <v>1.4565419744495293E-2</v>
      </c>
      <c r="AE14" s="56">
        <v>3.0672539292772409E-3</v>
      </c>
    </row>
    <row r="15" spans="1:39" ht="3.75" customHeight="1" thickBot="1" x14ac:dyDescent="0.3">
      <c r="AD15"/>
      <c r="AE15"/>
    </row>
    <row r="16" spans="1:39" s="33" customFormat="1" ht="15.75" thickBot="1" x14ac:dyDescent="0.3">
      <c r="A16" s="146" t="s">
        <v>10</v>
      </c>
      <c r="B16" s="126" t="s">
        <v>130</v>
      </c>
      <c r="C16" s="127" t="s">
        <v>131</v>
      </c>
      <c r="D16" s="127" t="s">
        <v>132</v>
      </c>
      <c r="E16" s="127" t="s">
        <v>133</v>
      </c>
      <c r="F16" s="127" t="s">
        <v>134</v>
      </c>
      <c r="G16" s="127" t="s">
        <v>135</v>
      </c>
      <c r="H16" s="127" t="s">
        <v>136</v>
      </c>
      <c r="I16" s="127" t="s">
        <v>137</v>
      </c>
      <c r="J16" s="127" t="s">
        <v>138</v>
      </c>
      <c r="K16" s="127" t="s">
        <v>139</v>
      </c>
      <c r="L16" s="127" t="s">
        <v>140</v>
      </c>
      <c r="M16" s="127" t="s">
        <v>141</v>
      </c>
      <c r="N16" s="127" t="s">
        <v>142</v>
      </c>
      <c r="O16" s="127" t="s">
        <v>143</v>
      </c>
      <c r="P16" s="127" t="s">
        <v>144</v>
      </c>
      <c r="Q16" s="127" t="s">
        <v>145</v>
      </c>
      <c r="R16" s="127" t="s">
        <v>146</v>
      </c>
      <c r="S16" s="127" t="s">
        <v>147</v>
      </c>
      <c r="T16" s="127" t="s">
        <v>148</v>
      </c>
      <c r="U16" s="127" t="s">
        <v>149</v>
      </c>
      <c r="V16" s="127" t="s">
        <v>150</v>
      </c>
      <c r="W16" s="127" t="s">
        <v>151</v>
      </c>
      <c r="X16" s="127" t="s">
        <v>152</v>
      </c>
      <c r="Y16" s="127" t="s">
        <v>153</v>
      </c>
      <c r="Z16" s="128" t="s">
        <v>154</v>
      </c>
      <c r="AA16" s="129" t="s">
        <v>155</v>
      </c>
      <c r="AB16" s="129" t="s">
        <v>156</v>
      </c>
      <c r="AC16" s="129" t="s">
        <v>157</v>
      </c>
      <c r="AD16" s="129" t="s">
        <v>158</v>
      </c>
      <c r="AE16" s="129" t="s">
        <v>159</v>
      </c>
      <c r="AF16" s="129" t="s">
        <v>160</v>
      </c>
      <c r="AG16" s="142" t="s">
        <v>184</v>
      </c>
      <c r="AH16" s="127" t="s">
        <v>185</v>
      </c>
      <c r="AI16" s="127" t="s">
        <v>186</v>
      </c>
      <c r="AJ16" s="127" t="s">
        <v>187</v>
      </c>
      <c r="AK16" s="127" t="s">
        <v>188</v>
      </c>
      <c r="AL16" s="127" t="s">
        <v>189</v>
      </c>
      <c r="AM16" s="127" t="s">
        <v>190</v>
      </c>
    </row>
    <row r="17" spans="1:39" s="33" customFormat="1" x14ac:dyDescent="0.25">
      <c r="A17" s="146"/>
      <c r="B17" s="130" t="s">
        <v>130</v>
      </c>
      <c r="C17" s="130" t="s">
        <v>131</v>
      </c>
      <c r="D17" s="130" t="s">
        <v>132</v>
      </c>
      <c r="E17" s="130" t="s">
        <v>133</v>
      </c>
      <c r="F17" s="130" t="s">
        <v>134</v>
      </c>
      <c r="G17" s="130" t="s">
        <v>135</v>
      </c>
      <c r="H17" s="130" t="s">
        <v>136</v>
      </c>
      <c r="I17" s="130" t="s">
        <v>137</v>
      </c>
      <c r="J17" s="130" t="s">
        <v>138</v>
      </c>
      <c r="K17" s="130" t="s">
        <v>139</v>
      </c>
      <c r="L17" s="130" t="s">
        <v>140</v>
      </c>
      <c r="M17" s="130" t="s">
        <v>141</v>
      </c>
      <c r="N17" s="130" t="s">
        <v>142</v>
      </c>
      <c r="O17" s="130" t="s">
        <v>143</v>
      </c>
      <c r="P17" s="130" t="s">
        <v>144</v>
      </c>
      <c r="Q17" s="130" t="s">
        <v>145</v>
      </c>
      <c r="R17" s="130" t="s">
        <v>146</v>
      </c>
      <c r="S17" s="130" t="s">
        <v>147</v>
      </c>
      <c r="T17" s="130" t="s">
        <v>148</v>
      </c>
      <c r="U17" s="130" t="s">
        <v>149</v>
      </c>
      <c r="V17" s="130" t="s">
        <v>150</v>
      </c>
      <c r="W17" s="130" t="s">
        <v>151</v>
      </c>
      <c r="X17" s="130" t="s">
        <v>152</v>
      </c>
      <c r="Y17" s="130" t="s">
        <v>153</v>
      </c>
      <c r="Z17" s="130" t="s">
        <v>154</v>
      </c>
      <c r="AA17" s="130" t="s">
        <v>155</v>
      </c>
      <c r="AB17" s="130" t="s">
        <v>156</v>
      </c>
      <c r="AC17" s="130" t="s">
        <v>157</v>
      </c>
      <c r="AD17" s="130" t="s">
        <v>158</v>
      </c>
      <c r="AE17" s="130" t="s">
        <v>159</v>
      </c>
      <c r="AF17" s="130" t="s">
        <v>160</v>
      </c>
      <c r="AG17" s="143" t="s">
        <v>184</v>
      </c>
      <c r="AH17" s="143" t="s">
        <v>185</v>
      </c>
      <c r="AI17" s="143" t="s">
        <v>186</v>
      </c>
      <c r="AJ17" s="143" t="s">
        <v>187</v>
      </c>
      <c r="AK17" s="143" t="s">
        <v>188</v>
      </c>
      <c r="AL17" s="143" t="s">
        <v>189</v>
      </c>
      <c r="AM17" s="143" t="s">
        <v>190</v>
      </c>
    </row>
    <row r="18" spans="1:39" ht="15.75" thickBot="1" x14ac:dyDescent="0.3">
      <c r="B18" s="131" t="s">
        <v>181</v>
      </c>
      <c r="C18" s="131" t="s">
        <v>181</v>
      </c>
      <c r="D18" s="131" t="s">
        <v>181</v>
      </c>
      <c r="E18" s="131" t="s">
        <v>181</v>
      </c>
      <c r="F18" s="131" t="s">
        <v>181</v>
      </c>
      <c r="G18" s="131" t="s">
        <v>181</v>
      </c>
      <c r="H18" s="131" t="s">
        <v>181</v>
      </c>
      <c r="I18" s="131" t="s">
        <v>181</v>
      </c>
      <c r="J18" s="131" t="s">
        <v>181</v>
      </c>
      <c r="K18" s="131" t="s">
        <v>181</v>
      </c>
      <c r="L18" s="131" t="s">
        <v>181</v>
      </c>
      <c r="M18" s="131" t="s">
        <v>181</v>
      </c>
      <c r="N18" s="131" t="s">
        <v>181</v>
      </c>
      <c r="O18" s="131" t="s">
        <v>181</v>
      </c>
      <c r="P18" s="131" t="s">
        <v>181</v>
      </c>
      <c r="Q18" s="131" t="s">
        <v>181</v>
      </c>
      <c r="R18" s="131" t="s">
        <v>181</v>
      </c>
      <c r="S18" s="131" t="s">
        <v>181</v>
      </c>
      <c r="T18" s="131" t="s">
        <v>181</v>
      </c>
      <c r="U18" s="131" t="s">
        <v>181</v>
      </c>
      <c r="V18" s="131" t="s">
        <v>181</v>
      </c>
      <c r="W18" s="131" t="s">
        <v>181</v>
      </c>
      <c r="X18" s="131" t="s">
        <v>181</v>
      </c>
      <c r="Y18" s="131" t="s">
        <v>181</v>
      </c>
      <c r="Z18" s="131" t="s">
        <v>181</v>
      </c>
      <c r="AA18" s="131" t="s">
        <v>181</v>
      </c>
      <c r="AB18" s="131" t="s">
        <v>181</v>
      </c>
      <c r="AC18" s="131" t="s">
        <v>181</v>
      </c>
      <c r="AD18" s="131" t="s">
        <v>181</v>
      </c>
      <c r="AE18" s="131" t="s">
        <v>181</v>
      </c>
      <c r="AF18" s="131" t="s">
        <v>181</v>
      </c>
      <c r="AG18" s="131" t="s">
        <v>181</v>
      </c>
      <c r="AH18" s="131" t="s">
        <v>181</v>
      </c>
      <c r="AI18" s="131" t="s">
        <v>181</v>
      </c>
      <c r="AJ18" s="131" t="s">
        <v>181</v>
      </c>
      <c r="AK18" s="131" t="s">
        <v>181</v>
      </c>
      <c r="AL18" s="131" t="s">
        <v>181</v>
      </c>
      <c r="AM18" s="131" t="s">
        <v>181</v>
      </c>
    </row>
    <row r="19" spans="1:39" s="15" customFormat="1" ht="15.75" thickBot="1" x14ac:dyDescent="0.3">
      <c r="A19" s="14" t="s">
        <v>15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63"/>
      <c r="M19" s="63"/>
      <c r="N19" s="63"/>
      <c r="O19" s="63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G19"/>
      <c r="AH19"/>
      <c r="AI19"/>
      <c r="AJ19"/>
      <c r="AK19"/>
      <c r="AL19"/>
      <c r="AM19"/>
    </row>
    <row r="20" spans="1:39" customFormat="1" x14ac:dyDescent="0.25">
      <c r="A20" s="132" t="s">
        <v>107</v>
      </c>
      <c r="B20" s="134">
        <f>10*B49</f>
        <v>15.7266591358376</v>
      </c>
      <c r="C20" s="134">
        <f t="shared" ref="C20:AF28" si="0">10*C49</f>
        <v>7.3306061644171807</v>
      </c>
      <c r="D20" s="134">
        <f t="shared" si="0"/>
        <v>16.519107134958698</v>
      </c>
      <c r="E20" s="134">
        <f t="shared" si="0"/>
        <v>19.6433478605651</v>
      </c>
      <c r="F20" s="134">
        <f t="shared" si="0"/>
        <v>108.83885396332501</v>
      </c>
      <c r="G20" s="134">
        <f t="shared" si="0"/>
        <v>22.0053896324502</v>
      </c>
      <c r="H20" s="134">
        <f t="shared" si="0"/>
        <v>0.89951818426371</v>
      </c>
      <c r="I20" s="134">
        <f t="shared" si="0"/>
        <v>13.542277014147698</v>
      </c>
      <c r="J20" s="134">
        <f t="shared" si="0"/>
        <v>760.65635110692199</v>
      </c>
      <c r="K20" s="134">
        <f t="shared" si="0"/>
        <v>1.5938125749615302</v>
      </c>
      <c r="L20" s="134">
        <f t="shared" si="0"/>
        <v>5.3254621670747309</v>
      </c>
      <c r="M20" s="134">
        <f t="shared" si="0"/>
        <v>60.824995985725806</v>
      </c>
      <c r="N20" s="134">
        <f t="shared" si="0"/>
        <v>214.82910014261802</v>
      </c>
      <c r="O20" s="134">
        <f t="shared" si="0"/>
        <v>22.9071634347466</v>
      </c>
      <c r="P20" s="134">
        <f t="shared" si="0"/>
        <v>95.428529554511215</v>
      </c>
      <c r="Q20" s="134">
        <f t="shared" si="0"/>
        <v>22.076790260664399</v>
      </c>
      <c r="R20" s="134">
        <f t="shared" si="0"/>
        <v>4.6424445872734204</v>
      </c>
      <c r="S20" s="134">
        <f t="shared" si="0"/>
        <v>25.0896446028441</v>
      </c>
      <c r="T20" s="134">
        <f t="shared" si="0"/>
        <v>3.1047054249749899</v>
      </c>
      <c r="U20" s="134">
        <f t="shared" si="0"/>
        <v>19.974297702361401</v>
      </c>
      <c r="V20" s="134">
        <f t="shared" si="0"/>
        <v>4.1772767017446295</v>
      </c>
      <c r="W20" s="134">
        <f t="shared" si="0"/>
        <v>11.9872059390927</v>
      </c>
      <c r="X20" s="134">
        <f t="shared" si="0"/>
        <v>1.5761024772589201</v>
      </c>
      <c r="Y20" s="134">
        <f t="shared" si="0"/>
        <v>10.0204374994051</v>
      </c>
      <c r="Z20" s="134">
        <f t="shared" si="0"/>
        <v>1.3996901747268</v>
      </c>
      <c r="AA20" s="134">
        <f t="shared" si="0"/>
        <v>1.1973006482678699</v>
      </c>
      <c r="AB20" s="134">
        <f t="shared" si="0"/>
        <v>0.21462303965571</v>
      </c>
      <c r="AC20" s="134">
        <f t="shared" si="0"/>
        <v>0.67098274133731595</v>
      </c>
      <c r="AD20" s="134">
        <f t="shared" si="0"/>
        <v>8.9709917478991503</v>
      </c>
      <c r="AE20" s="134">
        <f t="shared" si="0"/>
        <v>15.3358555059328</v>
      </c>
      <c r="AF20" s="134">
        <f t="shared" si="0"/>
        <v>8.4916125555671993</v>
      </c>
      <c r="AG20" s="134">
        <f t="shared" ref="AG20:AM35" si="1">10*AG49</f>
        <v>0</v>
      </c>
      <c r="AH20" s="134">
        <f t="shared" si="1"/>
        <v>0.33862007282555001</v>
      </c>
      <c r="AI20" s="134">
        <f t="shared" si="1"/>
        <v>4.4490819858628896</v>
      </c>
      <c r="AJ20" s="134">
        <f t="shared" si="1"/>
        <v>1.1169923289666599</v>
      </c>
      <c r="AK20" s="134">
        <f t="shared" si="1"/>
        <v>88.802758219052706</v>
      </c>
      <c r="AL20" s="134">
        <f t="shared" si="1"/>
        <v>0.35973085852736503</v>
      </c>
      <c r="AM20" s="134">
        <f t="shared" si="1"/>
        <v>0</v>
      </c>
    </row>
    <row r="21" spans="1:39" customFormat="1" x14ac:dyDescent="0.25">
      <c r="A21" s="132" t="s">
        <v>108</v>
      </c>
      <c r="B21" s="134">
        <f t="shared" ref="B21:Q38" si="2">10*B50</f>
        <v>13.935515717751299</v>
      </c>
      <c r="C21" s="134">
        <f t="shared" si="2"/>
        <v>5.1567839556370298</v>
      </c>
      <c r="D21" s="134">
        <f t="shared" si="2"/>
        <v>16.2292039560195</v>
      </c>
      <c r="E21" s="134">
        <f t="shared" si="2"/>
        <v>15.397310786238201</v>
      </c>
      <c r="F21" s="134">
        <f t="shared" si="2"/>
        <v>100.69768751041099</v>
      </c>
      <c r="G21" s="134">
        <f t="shared" si="2"/>
        <v>19.250478722312302</v>
      </c>
      <c r="H21" s="134">
        <f t="shared" si="2"/>
        <v>0.6905419877271759</v>
      </c>
      <c r="I21" s="134">
        <f t="shared" si="2"/>
        <v>8.0425475406845308</v>
      </c>
      <c r="J21" s="134">
        <f t="shared" si="2"/>
        <v>2956.5989117604604</v>
      </c>
      <c r="K21" s="134">
        <f t="shared" si="2"/>
        <v>0.75577145862370898</v>
      </c>
      <c r="L21" s="134">
        <f t="shared" si="2"/>
        <v>4.2582926606483298</v>
      </c>
      <c r="M21" s="134">
        <f t="shared" si="2"/>
        <v>55.331742085174</v>
      </c>
      <c r="N21" s="134">
        <f t="shared" si="2"/>
        <v>193.001237652067</v>
      </c>
      <c r="O21" s="134">
        <f t="shared" si="2"/>
        <v>20.784299414467601</v>
      </c>
      <c r="P21" s="134">
        <f t="shared" si="2"/>
        <v>85.090978135896989</v>
      </c>
      <c r="Q21" s="134">
        <f t="shared" si="2"/>
        <v>19.413179069162499</v>
      </c>
      <c r="R21" s="134">
        <f t="shared" si="0"/>
        <v>4.1823208793669497</v>
      </c>
      <c r="S21" s="134">
        <f t="shared" si="0"/>
        <v>22.578283401164299</v>
      </c>
      <c r="T21" s="134">
        <f t="shared" si="0"/>
        <v>2.61097234230603</v>
      </c>
      <c r="U21" s="134">
        <f t="shared" si="0"/>
        <v>18.296912479052303</v>
      </c>
      <c r="V21" s="134">
        <f t="shared" si="0"/>
        <v>3.76928580986515</v>
      </c>
      <c r="W21" s="134">
        <f t="shared" si="0"/>
        <v>10.914713425858999</v>
      </c>
      <c r="X21" s="134">
        <f t="shared" si="0"/>
        <v>1.45262806803928</v>
      </c>
      <c r="Y21" s="134">
        <f t="shared" si="0"/>
        <v>9.25857003408351</v>
      </c>
      <c r="Z21" s="134">
        <f t="shared" si="0"/>
        <v>1.3026347654947301</v>
      </c>
      <c r="AA21" s="134">
        <f t="shared" si="0"/>
        <v>0.93323410611930602</v>
      </c>
      <c r="AB21" s="134">
        <f t="shared" si="0"/>
        <v>0.125574352415604</v>
      </c>
      <c r="AC21" s="134">
        <f t="shared" si="0"/>
        <v>0.51892537209615297</v>
      </c>
      <c r="AD21" s="134">
        <f t="shared" si="0"/>
        <v>9.8444611086770593</v>
      </c>
      <c r="AE21" s="134">
        <f t="shared" si="0"/>
        <v>13.961521629429301</v>
      </c>
      <c r="AF21" s="134">
        <f t="shared" si="0"/>
        <v>7.7201619039169103</v>
      </c>
      <c r="AG21" s="134">
        <f t="shared" si="1"/>
        <v>0</v>
      </c>
      <c r="AH21" s="134">
        <f t="shared" si="1"/>
        <v>8.6498141993567895E-2</v>
      </c>
      <c r="AI21" s="134">
        <f t="shared" si="1"/>
        <v>2.9640920486066999</v>
      </c>
      <c r="AJ21" s="134">
        <f t="shared" si="1"/>
        <v>0</v>
      </c>
      <c r="AK21" s="134">
        <f t="shared" si="1"/>
        <v>111.07047881666099</v>
      </c>
      <c r="AL21" s="134">
        <f t="shared" si="1"/>
        <v>0</v>
      </c>
      <c r="AM21" s="134">
        <f t="shared" si="1"/>
        <v>0</v>
      </c>
    </row>
    <row r="22" spans="1:39" customFormat="1" x14ac:dyDescent="0.25">
      <c r="A22" s="132" t="s">
        <v>109</v>
      </c>
      <c r="B22" s="134">
        <f t="shared" si="2"/>
        <v>14.8494193128499</v>
      </c>
      <c r="C22" s="134">
        <f t="shared" si="0"/>
        <v>7.9218937858899698</v>
      </c>
      <c r="D22" s="134">
        <f t="shared" si="0"/>
        <v>17.361936338830798</v>
      </c>
      <c r="E22" s="134">
        <f t="shared" si="0"/>
        <v>19.854305123738701</v>
      </c>
      <c r="F22" s="134">
        <f t="shared" si="0"/>
        <v>103.71644112740499</v>
      </c>
      <c r="G22" s="134">
        <f t="shared" si="0"/>
        <v>21.971959994581901</v>
      </c>
      <c r="H22" s="134">
        <f t="shared" si="0"/>
        <v>0.716869648583493</v>
      </c>
      <c r="I22" s="134">
        <f t="shared" si="0"/>
        <v>5.8730319807908904</v>
      </c>
      <c r="J22" s="134">
        <f t="shared" si="0"/>
        <v>4599.5939270034596</v>
      </c>
      <c r="K22" s="134">
        <f t="shared" si="0"/>
        <v>0.44035912123006699</v>
      </c>
      <c r="L22" s="134">
        <f t="shared" si="0"/>
        <v>4.01811561869998</v>
      </c>
      <c r="M22" s="134">
        <f t="shared" si="0"/>
        <v>60.060058123163394</v>
      </c>
      <c r="N22" s="134">
        <f t="shared" si="0"/>
        <v>207.915651295186</v>
      </c>
      <c r="O22" s="134">
        <f t="shared" si="0"/>
        <v>22.078992685331002</v>
      </c>
      <c r="P22" s="134">
        <f t="shared" si="0"/>
        <v>89.954068806662804</v>
      </c>
      <c r="Q22" s="134">
        <f t="shared" si="0"/>
        <v>20.6377509084375</v>
      </c>
      <c r="R22" s="134">
        <f t="shared" si="0"/>
        <v>4.33532076157997</v>
      </c>
      <c r="S22" s="134">
        <f t="shared" si="0"/>
        <v>23.737321879777799</v>
      </c>
      <c r="T22" s="134">
        <f t="shared" si="0"/>
        <v>2.9998158364174401</v>
      </c>
      <c r="U22" s="134">
        <f t="shared" si="0"/>
        <v>19.008872853962799</v>
      </c>
      <c r="V22" s="134">
        <f t="shared" si="0"/>
        <v>4.0045757405791802</v>
      </c>
      <c r="W22" s="134">
        <f t="shared" si="0"/>
        <v>11.2119861359454</v>
      </c>
      <c r="X22" s="134">
        <f t="shared" si="0"/>
        <v>1.5775888638244502</v>
      </c>
      <c r="Y22" s="134">
        <f t="shared" si="0"/>
        <v>9.5024696839409</v>
      </c>
      <c r="Z22" s="134">
        <f t="shared" si="0"/>
        <v>1.3914185694269501</v>
      </c>
      <c r="AA22" s="134">
        <f t="shared" si="0"/>
        <v>1.07236974490284</v>
      </c>
      <c r="AB22" s="134">
        <f t="shared" si="0"/>
        <v>0.106883702134212</v>
      </c>
      <c r="AC22" s="134">
        <f t="shared" si="0"/>
        <v>0.58974790027006696</v>
      </c>
      <c r="AD22" s="134">
        <f t="shared" si="0"/>
        <v>4.1213409140820803</v>
      </c>
      <c r="AE22" s="134">
        <f t="shared" si="0"/>
        <v>15.557634451793101</v>
      </c>
      <c r="AF22" s="134">
        <f t="shared" si="0"/>
        <v>7.7449619568679093</v>
      </c>
      <c r="AG22" s="134">
        <f t="shared" si="1"/>
        <v>0</v>
      </c>
      <c r="AH22" s="134">
        <f t="shared" si="1"/>
        <v>0.40185298029535199</v>
      </c>
      <c r="AI22" s="134">
        <f t="shared" si="1"/>
        <v>5.0493510195027707</v>
      </c>
      <c r="AJ22" s="134">
        <f t="shared" si="1"/>
        <v>0</v>
      </c>
      <c r="AK22" s="134">
        <f t="shared" si="1"/>
        <v>221.35184653910599</v>
      </c>
      <c r="AL22" s="134">
        <f t="shared" si="1"/>
        <v>0</v>
      </c>
      <c r="AM22" s="134">
        <f t="shared" si="1"/>
        <v>0</v>
      </c>
    </row>
    <row r="23" spans="1:39" customFormat="1" x14ac:dyDescent="0.25">
      <c r="A23" s="132" t="s">
        <v>110</v>
      </c>
      <c r="B23" s="134">
        <f t="shared" si="2"/>
        <v>17.6357643216929</v>
      </c>
      <c r="C23" s="134">
        <f t="shared" si="0"/>
        <v>10.7511119716122</v>
      </c>
      <c r="D23" s="134">
        <f t="shared" si="0"/>
        <v>20.497959061757101</v>
      </c>
      <c r="E23" s="134">
        <f t="shared" si="0"/>
        <v>32.538194457368299</v>
      </c>
      <c r="F23" s="134">
        <f t="shared" si="0"/>
        <v>111.95884352899499</v>
      </c>
      <c r="G23" s="134">
        <f t="shared" si="0"/>
        <v>27.7167717157811</v>
      </c>
      <c r="H23" s="134">
        <f t="shared" si="0"/>
        <v>0.53743889552254298</v>
      </c>
      <c r="I23" s="134">
        <f t="shared" si="0"/>
        <v>6.6663908126958002</v>
      </c>
      <c r="J23" s="134">
        <f t="shared" si="0"/>
        <v>1337.1692397184099</v>
      </c>
      <c r="K23" s="134">
        <f t="shared" si="0"/>
        <v>0.50636650932243599</v>
      </c>
      <c r="L23" s="134">
        <f t="shared" si="0"/>
        <v>5.0948656774711099</v>
      </c>
      <c r="M23" s="134">
        <f t="shared" si="0"/>
        <v>56.063499760449396</v>
      </c>
      <c r="N23" s="134">
        <f t="shared" si="0"/>
        <v>200.355177333494</v>
      </c>
      <c r="O23" s="134">
        <f t="shared" si="0"/>
        <v>22.184450911648099</v>
      </c>
      <c r="P23" s="134">
        <f t="shared" si="0"/>
        <v>92.753231619578088</v>
      </c>
      <c r="Q23" s="134">
        <f t="shared" si="0"/>
        <v>22.0667725530536</v>
      </c>
      <c r="R23" s="134">
        <f t="shared" si="0"/>
        <v>4.92133839945327</v>
      </c>
      <c r="S23" s="134">
        <f t="shared" si="0"/>
        <v>25.188975911514401</v>
      </c>
      <c r="T23" s="134">
        <f t="shared" si="0"/>
        <v>3.1793340136219799</v>
      </c>
      <c r="U23" s="134">
        <f t="shared" si="0"/>
        <v>21.143658124776401</v>
      </c>
      <c r="V23" s="134">
        <f t="shared" si="0"/>
        <v>4.3564411850624101</v>
      </c>
      <c r="W23" s="134">
        <f t="shared" si="0"/>
        <v>13.0711043703968</v>
      </c>
      <c r="X23" s="134">
        <f t="shared" si="0"/>
        <v>1.7532522095085601</v>
      </c>
      <c r="Y23" s="134">
        <f t="shared" si="0"/>
        <v>10.569129291514701</v>
      </c>
      <c r="Z23" s="134">
        <f t="shared" si="0"/>
        <v>1.59292227001683</v>
      </c>
      <c r="AA23" s="134">
        <f t="shared" si="0"/>
        <v>1.22587308484624</v>
      </c>
      <c r="AB23" s="134">
        <f t="shared" si="0"/>
        <v>9.9118285039322407E-2</v>
      </c>
      <c r="AC23" s="134">
        <f t="shared" si="0"/>
        <v>0.43322072035305104</v>
      </c>
      <c r="AD23" s="134">
        <f t="shared" si="0"/>
        <v>5.4648127590771303</v>
      </c>
      <c r="AE23" s="134">
        <f t="shared" si="0"/>
        <v>17.126121888207301</v>
      </c>
      <c r="AF23" s="134">
        <f t="shared" si="0"/>
        <v>10.059144234073301</v>
      </c>
      <c r="AG23" s="134">
        <f t="shared" si="1"/>
        <v>0</v>
      </c>
      <c r="AH23" s="134">
        <f t="shared" si="1"/>
        <v>0.95275399924627902</v>
      </c>
      <c r="AI23" s="134">
        <f t="shared" si="1"/>
        <v>8.4815962739087301</v>
      </c>
      <c r="AJ23" s="134">
        <f t="shared" si="1"/>
        <v>0</v>
      </c>
      <c r="AK23" s="134">
        <f t="shared" si="1"/>
        <v>24.847742220255199</v>
      </c>
      <c r="AL23" s="134">
        <f t="shared" si="1"/>
        <v>0</v>
      </c>
      <c r="AM23" s="134">
        <f t="shared" si="1"/>
        <v>0</v>
      </c>
    </row>
    <row r="24" spans="1:39" customFormat="1" x14ac:dyDescent="0.25">
      <c r="A24" s="132" t="s">
        <v>111</v>
      </c>
      <c r="B24" s="134">
        <f t="shared" si="2"/>
        <v>16.4503401785629</v>
      </c>
      <c r="C24" s="134">
        <f t="shared" si="0"/>
        <v>9.6259151147782589</v>
      </c>
      <c r="D24" s="134">
        <f t="shared" si="0"/>
        <v>20.9427028129072</v>
      </c>
      <c r="E24" s="134">
        <f t="shared" si="0"/>
        <v>29.231592062005397</v>
      </c>
      <c r="F24" s="134">
        <f t="shared" si="0"/>
        <v>109.51836709751801</v>
      </c>
      <c r="G24" s="134">
        <f t="shared" si="0"/>
        <v>25.690286983978798</v>
      </c>
      <c r="H24" s="134">
        <f t="shared" si="0"/>
        <v>0.56654214945690295</v>
      </c>
      <c r="I24" s="134">
        <f t="shared" si="0"/>
        <v>6.0908647824970696</v>
      </c>
      <c r="J24" s="134">
        <f t="shared" si="0"/>
        <v>4891.4630728861503</v>
      </c>
      <c r="K24" s="134">
        <f t="shared" si="0"/>
        <v>0.39843053356990898</v>
      </c>
      <c r="L24" s="134">
        <f t="shared" si="0"/>
        <v>5.04718027901162</v>
      </c>
      <c r="M24" s="134">
        <f t="shared" si="0"/>
        <v>56.130719212330902</v>
      </c>
      <c r="N24" s="134">
        <f t="shared" si="0"/>
        <v>202.43620462876299</v>
      </c>
      <c r="O24" s="134">
        <f t="shared" si="0"/>
        <v>22.707040400487898</v>
      </c>
      <c r="P24" s="134">
        <f t="shared" si="0"/>
        <v>95.172395827730497</v>
      </c>
      <c r="Q24" s="134">
        <f t="shared" si="0"/>
        <v>22.096631851466299</v>
      </c>
      <c r="R24" s="134">
        <f t="shared" si="0"/>
        <v>4.9397667510210406</v>
      </c>
      <c r="S24" s="134">
        <f t="shared" si="0"/>
        <v>25.004897092529799</v>
      </c>
      <c r="T24" s="134">
        <f t="shared" si="0"/>
        <v>3.17954170597221</v>
      </c>
      <c r="U24" s="134">
        <f t="shared" si="0"/>
        <v>20.728915685369799</v>
      </c>
      <c r="V24" s="134">
        <f t="shared" si="0"/>
        <v>4.2833515180520401</v>
      </c>
      <c r="W24" s="134">
        <f t="shared" si="0"/>
        <v>12.1329543492916</v>
      </c>
      <c r="X24" s="134">
        <f t="shared" si="0"/>
        <v>1.6488577221963499</v>
      </c>
      <c r="Y24" s="134">
        <f t="shared" si="0"/>
        <v>10.155067310438</v>
      </c>
      <c r="Z24" s="134">
        <f t="shared" si="0"/>
        <v>1.4364913929888701</v>
      </c>
      <c r="AA24" s="134">
        <f t="shared" si="0"/>
        <v>1.2168927976641899</v>
      </c>
      <c r="AB24" s="134">
        <f t="shared" si="0"/>
        <v>9.2349279376200299E-2</v>
      </c>
      <c r="AC24" s="134">
        <f t="shared" si="0"/>
        <v>0.46800767612890098</v>
      </c>
      <c r="AD24" s="134">
        <f t="shared" si="0"/>
        <v>5.5377707015000501</v>
      </c>
      <c r="AE24" s="134">
        <f t="shared" si="0"/>
        <v>17.454807117626203</v>
      </c>
      <c r="AF24" s="134">
        <f t="shared" si="0"/>
        <v>10.933750083651802</v>
      </c>
      <c r="AG24" s="134">
        <f t="shared" si="1"/>
        <v>0</v>
      </c>
      <c r="AH24" s="134">
        <f t="shared" si="1"/>
        <v>1.1532562237366</v>
      </c>
      <c r="AI24" s="134">
        <f t="shared" si="1"/>
        <v>9.8902000565023389</v>
      </c>
      <c r="AJ24" s="134">
        <f t="shared" si="1"/>
        <v>0</v>
      </c>
      <c r="AK24" s="134">
        <f t="shared" si="1"/>
        <v>24.062056255474502</v>
      </c>
      <c r="AL24" s="134">
        <f t="shared" si="1"/>
        <v>0</v>
      </c>
      <c r="AM24" s="134">
        <f t="shared" si="1"/>
        <v>0</v>
      </c>
    </row>
    <row r="25" spans="1:39" customFormat="1" x14ac:dyDescent="0.25">
      <c r="A25" s="132" t="s">
        <v>112</v>
      </c>
      <c r="B25" s="134">
        <f t="shared" si="2"/>
        <v>15.6670112670409</v>
      </c>
      <c r="C25" s="134">
        <f t="shared" si="0"/>
        <v>7.3820577662647704</v>
      </c>
      <c r="D25" s="134">
        <f t="shared" si="0"/>
        <v>19.5124888662072</v>
      </c>
      <c r="E25" s="134">
        <f t="shared" si="0"/>
        <v>22.120261223750603</v>
      </c>
      <c r="F25" s="134">
        <f t="shared" si="0"/>
        <v>101.63117323555699</v>
      </c>
      <c r="G25" s="134">
        <f t="shared" si="0"/>
        <v>24.559770910308202</v>
      </c>
      <c r="H25" s="134">
        <f t="shared" si="0"/>
        <v>0.828986573965101</v>
      </c>
      <c r="I25" s="134">
        <f t="shared" si="0"/>
        <v>5.7035035997073802</v>
      </c>
      <c r="J25" s="134">
        <f t="shared" si="0"/>
        <v>1159.3549643763999</v>
      </c>
      <c r="K25" s="134">
        <f t="shared" si="0"/>
        <v>0.39755825720374699</v>
      </c>
      <c r="L25" s="134">
        <f t="shared" si="0"/>
        <v>4.0966869124271801</v>
      </c>
      <c r="M25" s="134">
        <f t="shared" si="0"/>
        <v>52.002679860479198</v>
      </c>
      <c r="N25" s="134">
        <f t="shared" si="0"/>
        <v>190.788034367585</v>
      </c>
      <c r="O25" s="134">
        <f t="shared" si="0"/>
        <v>20.556760847982698</v>
      </c>
      <c r="P25" s="134">
        <f t="shared" si="0"/>
        <v>86.151806095572113</v>
      </c>
      <c r="Q25" s="134">
        <f t="shared" si="0"/>
        <v>19.619106736272002</v>
      </c>
      <c r="R25" s="134">
        <f t="shared" si="0"/>
        <v>4.4036583039452699</v>
      </c>
      <c r="S25" s="134">
        <f t="shared" si="0"/>
        <v>22.902679950501099</v>
      </c>
      <c r="T25" s="134">
        <f t="shared" si="0"/>
        <v>2.8033547404570305</v>
      </c>
      <c r="U25" s="134">
        <f t="shared" si="0"/>
        <v>19.2013458908215</v>
      </c>
      <c r="V25" s="134">
        <f t="shared" si="0"/>
        <v>3.9927134626232501</v>
      </c>
      <c r="W25" s="134">
        <f t="shared" si="0"/>
        <v>11.637355042507501</v>
      </c>
      <c r="X25" s="134">
        <f t="shared" si="0"/>
        <v>1.5919346127075302</v>
      </c>
      <c r="Y25" s="134">
        <f t="shared" si="0"/>
        <v>9.6933553470674205</v>
      </c>
      <c r="Z25" s="134">
        <f t="shared" si="0"/>
        <v>1.41520120151572</v>
      </c>
      <c r="AA25" s="134">
        <f t="shared" si="0"/>
        <v>1.2441175104993301</v>
      </c>
      <c r="AB25" s="134">
        <f t="shared" si="0"/>
        <v>8.1133806479500498E-2</v>
      </c>
      <c r="AC25" s="134">
        <f t="shared" si="0"/>
        <v>0.323620439443846</v>
      </c>
      <c r="AD25" s="134">
        <f t="shared" si="0"/>
        <v>5.5240317346849297</v>
      </c>
      <c r="AE25" s="134">
        <f t="shared" si="0"/>
        <v>15.891195437008401</v>
      </c>
      <c r="AF25" s="134">
        <f t="shared" si="0"/>
        <v>8.8259881901974602</v>
      </c>
      <c r="AG25" s="134">
        <f t="shared" si="1"/>
        <v>0</v>
      </c>
      <c r="AH25" s="134">
        <f t="shared" si="1"/>
        <v>0.65517026836901993</v>
      </c>
      <c r="AI25" s="134">
        <f t="shared" si="1"/>
        <v>6.767673040409889</v>
      </c>
      <c r="AJ25" s="134">
        <f t="shared" si="1"/>
        <v>0</v>
      </c>
      <c r="AK25" s="134">
        <f t="shared" si="1"/>
        <v>26.4188312842629</v>
      </c>
      <c r="AL25" s="134">
        <f t="shared" si="1"/>
        <v>0</v>
      </c>
      <c r="AM25" s="134">
        <f t="shared" si="1"/>
        <v>0</v>
      </c>
    </row>
    <row r="26" spans="1:39" customFormat="1" x14ac:dyDescent="0.25">
      <c r="A26" s="132" t="s">
        <v>113</v>
      </c>
      <c r="B26" s="134">
        <f t="shared" si="2"/>
        <v>14.180657144239099</v>
      </c>
      <c r="C26" s="134">
        <f t="shared" si="0"/>
        <v>5.9068077278570899</v>
      </c>
      <c r="D26" s="134">
        <f t="shared" si="0"/>
        <v>17.147991072945299</v>
      </c>
      <c r="E26" s="134">
        <f t="shared" si="0"/>
        <v>16.757380344754502</v>
      </c>
      <c r="F26" s="134">
        <f t="shared" si="0"/>
        <v>104.61273511188</v>
      </c>
      <c r="G26" s="134">
        <f t="shared" si="0"/>
        <v>22.889085894392199</v>
      </c>
      <c r="H26" s="134">
        <f t="shared" si="0"/>
        <v>0.57402727022178701</v>
      </c>
      <c r="I26" s="134">
        <f t="shared" si="0"/>
        <v>5.3058933024938701</v>
      </c>
      <c r="J26" s="134">
        <f t="shared" si="0"/>
        <v>13700.0992493143</v>
      </c>
      <c r="K26" s="134">
        <f t="shared" si="0"/>
        <v>0.40023656235442101</v>
      </c>
      <c r="L26" s="134">
        <f t="shared" si="0"/>
        <v>3.5532341444347399</v>
      </c>
      <c r="M26" s="134">
        <f t="shared" si="0"/>
        <v>54.050895363564599</v>
      </c>
      <c r="N26" s="134">
        <f t="shared" si="0"/>
        <v>195.79895383749002</v>
      </c>
      <c r="O26" s="134">
        <f t="shared" si="0"/>
        <v>20.394996936856199</v>
      </c>
      <c r="P26" s="134">
        <f t="shared" si="0"/>
        <v>83.859718948751294</v>
      </c>
      <c r="Q26" s="134">
        <f t="shared" si="0"/>
        <v>19.752563323318899</v>
      </c>
      <c r="R26" s="134">
        <f t="shared" si="0"/>
        <v>4.0970707485898199</v>
      </c>
      <c r="S26" s="134">
        <f t="shared" si="0"/>
        <v>22.858702314719199</v>
      </c>
      <c r="T26" s="134">
        <f t="shared" si="0"/>
        <v>2.9384075314927198</v>
      </c>
      <c r="U26" s="134">
        <f t="shared" si="0"/>
        <v>19.806079010465801</v>
      </c>
      <c r="V26" s="134">
        <f t="shared" si="0"/>
        <v>4.0796633399104296</v>
      </c>
      <c r="W26" s="134">
        <f t="shared" si="0"/>
        <v>11.865778528178602</v>
      </c>
      <c r="X26" s="134">
        <f t="shared" si="0"/>
        <v>1.6475082853248</v>
      </c>
      <c r="Y26" s="134">
        <f t="shared" si="0"/>
        <v>10.0721101719581</v>
      </c>
      <c r="Z26" s="134">
        <f t="shared" si="0"/>
        <v>1.4571896326575899</v>
      </c>
      <c r="AA26" s="134">
        <f t="shared" si="0"/>
        <v>1.0541390098393901</v>
      </c>
      <c r="AB26" s="134">
        <f t="shared" si="0"/>
        <v>8.9945113909667904E-2</v>
      </c>
      <c r="AC26" s="134">
        <f t="shared" si="0"/>
        <v>0.47315764568774005</v>
      </c>
      <c r="AD26" s="134">
        <f t="shared" si="0"/>
        <v>5.1649559162166101</v>
      </c>
      <c r="AE26" s="134">
        <f t="shared" si="0"/>
        <v>16.844470265719401</v>
      </c>
      <c r="AF26" s="134">
        <f t="shared" si="0"/>
        <v>8.760092475830529</v>
      </c>
      <c r="AG26" s="134">
        <f t="shared" si="1"/>
        <v>0</v>
      </c>
      <c r="AH26" s="134">
        <f t="shared" si="1"/>
        <v>1.0025903139010901</v>
      </c>
      <c r="AI26" s="134">
        <f t="shared" si="1"/>
        <v>8.7589723252306602</v>
      </c>
      <c r="AJ26" s="134">
        <f t="shared" si="1"/>
        <v>0</v>
      </c>
      <c r="AK26" s="134">
        <f t="shared" si="1"/>
        <v>80.512626123165703</v>
      </c>
      <c r="AL26" s="134">
        <f t="shared" si="1"/>
        <v>0</v>
      </c>
      <c r="AM26" s="134">
        <f t="shared" si="1"/>
        <v>0</v>
      </c>
    </row>
    <row r="27" spans="1:39" customFormat="1" ht="14.25" customHeight="1" x14ac:dyDescent="0.25">
      <c r="A27" s="132" t="s">
        <v>114</v>
      </c>
      <c r="B27" s="134">
        <f t="shared" si="2"/>
        <v>15.6649114448972</v>
      </c>
      <c r="C27" s="134">
        <f t="shared" si="0"/>
        <v>8.1940927809085888</v>
      </c>
      <c r="D27" s="134">
        <f t="shared" si="0"/>
        <v>17.4835724071729</v>
      </c>
      <c r="E27" s="134">
        <f t="shared" si="0"/>
        <v>21.7536535535125</v>
      </c>
      <c r="F27" s="134">
        <f t="shared" si="0"/>
        <v>111.612776717909</v>
      </c>
      <c r="G27" s="134">
        <f t="shared" si="0"/>
        <v>23.635237694185598</v>
      </c>
      <c r="H27" s="134">
        <f t="shared" si="0"/>
        <v>0.68243220814313099</v>
      </c>
      <c r="I27" s="134">
        <f t="shared" si="0"/>
        <v>6.1261718677522401</v>
      </c>
      <c r="J27" s="134">
        <f t="shared" si="0"/>
        <v>10004.030742873199</v>
      </c>
      <c r="K27" s="134">
        <f t="shared" si="0"/>
        <v>0.43457333745444698</v>
      </c>
      <c r="L27" s="134">
        <f t="shared" si="0"/>
        <v>4.2954363655063998</v>
      </c>
      <c r="M27" s="134">
        <f t="shared" si="0"/>
        <v>58.523031204299201</v>
      </c>
      <c r="N27" s="134">
        <f t="shared" si="0"/>
        <v>204.01548827314102</v>
      </c>
      <c r="O27" s="134">
        <f t="shared" si="0"/>
        <v>21.8784875792085</v>
      </c>
      <c r="P27" s="134">
        <f t="shared" si="0"/>
        <v>90.191221502665897</v>
      </c>
      <c r="Q27" s="134">
        <f t="shared" si="0"/>
        <v>21.502127108673598</v>
      </c>
      <c r="R27" s="134">
        <f t="shared" si="0"/>
        <v>4.2901167127931998</v>
      </c>
      <c r="S27" s="134">
        <f t="shared" si="0"/>
        <v>24.590985100680399</v>
      </c>
      <c r="T27" s="134">
        <f t="shared" si="0"/>
        <v>3.2086235855033003</v>
      </c>
      <c r="U27" s="134">
        <f t="shared" si="0"/>
        <v>21.131990942068001</v>
      </c>
      <c r="V27" s="134">
        <f t="shared" si="0"/>
        <v>4.3880799436953</v>
      </c>
      <c r="W27" s="134">
        <f t="shared" si="0"/>
        <v>12.9008167269489</v>
      </c>
      <c r="X27" s="134">
        <f t="shared" si="0"/>
        <v>1.7961090491754601</v>
      </c>
      <c r="Y27" s="134">
        <f t="shared" si="0"/>
        <v>10.8785023361614</v>
      </c>
      <c r="Z27" s="134">
        <f t="shared" si="0"/>
        <v>1.5739099405646302</v>
      </c>
      <c r="AA27" s="134">
        <f t="shared" si="0"/>
        <v>1.1657887608463999</v>
      </c>
      <c r="AB27" s="134">
        <f t="shared" si="0"/>
        <v>0.14166341431325302</v>
      </c>
      <c r="AC27" s="134">
        <f t="shared" si="0"/>
        <v>0.68569356037505091</v>
      </c>
      <c r="AD27" s="134">
        <f t="shared" si="0"/>
        <v>2.9520904757414499</v>
      </c>
      <c r="AE27" s="134">
        <f t="shared" si="0"/>
        <v>17.286811178228501</v>
      </c>
      <c r="AF27" s="134">
        <f t="shared" si="0"/>
        <v>8.8216930585907907</v>
      </c>
      <c r="AG27" s="134">
        <f t="shared" si="1"/>
        <v>0</v>
      </c>
      <c r="AH27" s="134">
        <f t="shared" si="1"/>
        <v>1.20650140631514</v>
      </c>
      <c r="AI27" s="134">
        <f t="shared" si="1"/>
        <v>10.115666373416602</v>
      </c>
      <c r="AJ27" s="134">
        <f t="shared" si="1"/>
        <v>1.8179633414504901</v>
      </c>
      <c r="AK27" s="134">
        <f t="shared" si="1"/>
        <v>63.4619147382897</v>
      </c>
      <c r="AL27" s="134">
        <f t="shared" si="1"/>
        <v>0</v>
      </c>
      <c r="AM27" s="134">
        <f t="shared" si="1"/>
        <v>0</v>
      </c>
    </row>
    <row r="28" spans="1:39" customFormat="1" x14ac:dyDescent="0.25">
      <c r="A28" s="132" t="s">
        <v>115</v>
      </c>
      <c r="B28" s="134">
        <f t="shared" si="2"/>
        <v>16.255117938922098</v>
      </c>
      <c r="C28" s="134">
        <f t="shared" si="0"/>
        <v>9.2737966045584095</v>
      </c>
      <c r="D28" s="134">
        <f t="shared" si="0"/>
        <v>18.293474376238198</v>
      </c>
      <c r="E28" s="134">
        <f t="shared" si="0"/>
        <v>24.614308618631799</v>
      </c>
      <c r="F28" s="134">
        <f t="shared" si="0"/>
        <v>115.73632596473701</v>
      </c>
      <c r="G28" s="134">
        <f t="shared" si="0"/>
        <v>28.317899667488401</v>
      </c>
      <c r="H28" s="134">
        <f t="shared" si="0"/>
        <v>0.75987070722807992</v>
      </c>
      <c r="I28" s="134">
        <f t="shared" si="0"/>
        <v>6.0777788540625499</v>
      </c>
      <c r="J28" s="134">
        <f t="shared" si="0"/>
        <v>17063.092417564701</v>
      </c>
      <c r="K28" s="134">
        <f t="shared" si="0"/>
        <v>0.65000216716881098</v>
      </c>
      <c r="L28" s="134">
        <f t="shared" si="0"/>
        <v>4.4762666897905099</v>
      </c>
      <c r="M28" s="134">
        <f t="shared" si="0"/>
        <v>59.233099388787906</v>
      </c>
      <c r="N28" s="134">
        <f t="shared" si="0"/>
        <v>206.28456774172801</v>
      </c>
      <c r="O28" s="134">
        <f t="shared" si="0"/>
        <v>22.086281430242202</v>
      </c>
      <c r="P28" s="134">
        <f t="shared" si="0"/>
        <v>90.955163945316301</v>
      </c>
      <c r="Q28" s="134">
        <f t="shared" si="0"/>
        <v>21.203195581209002</v>
      </c>
      <c r="R28" s="134">
        <f t="shared" si="0"/>
        <v>4.4647438210548298</v>
      </c>
      <c r="S28" s="134">
        <f t="shared" si="0"/>
        <v>24.939959665647198</v>
      </c>
      <c r="T28" s="134">
        <f t="shared" si="0"/>
        <v>3.2401440197669</v>
      </c>
      <c r="U28" s="134">
        <f t="shared" si="0"/>
        <v>21.621483403336001</v>
      </c>
      <c r="V28" s="134">
        <f t="shared" si="0"/>
        <v>4.5886384469528601</v>
      </c>
      <c r="W28" s="134">
        <f t="shared" si="0"/>
        <v>12.9209065772363</v>
      </c>
      <c r="X28" s="134">
        <f t="shared" si="0"/>
        <v>1.8245644589276</v>
      </c>
      <c r="Y28" s="134">
        <f t="shared" si="0"/>
        <v>11.646682150637099</v>
      </c>
      <c r="Z28" s="134">
        <f t="shared" si="0"/>
        <v>1.67610636910607</v>
      </c>
      <c r="AA28" s="134">
        <f t="shared" si="0"/>
        <v>1.3177871494774098</v>
      </c>
      <c r="AB28" s="134">
        <f t="shared" si="0"/>
        <v>0.119840916009075</v>
      </c>
      <c r="AC28" s="134">
        <f t="shared" si="0"/>
        <v>0.57297389653124098</v>
      </c>
      <c r="AD28" s="134">
        <f t="shared" si="0"/>
        <v>5.1945332520510696</v>
      </c>
      <c r="AE28" s="134">
        <f t="shared" si="0"/>
        <v>17.453258528308901</v>
      </c>
      <c r="AF28" s="134">
        <f t="shared" si="0"/>
        <v>9.7835730211216703</v>
      </c>
      <c r="AG28" s="134">
        <f t="shared" si="1"/>
        <v>0</v>
      </c>
      <c r="AH28" s="134">
        <f t="shared" si="1"/>
        <v>1.34622289441649</v>
      </c>
      <c r="AI28" s="134">
        <f t="shared" si="1"/>
        <v>11.044869239979601</v>
      </c>
      <c r="AJ28" s="134">
        <f t="shared" si="1"/>
        <v>0.206385427894866</v>
      </c>
      <c r="AK28" s="134">
        <f t="shared" si="1"/>
        <v>94.317853959943605</v>
      </c>
      <c r="AL28" s="134">
        <f t="shared" si="1"/>
        <v>0</v>
      </c>
      <c r="AM28" s="134">
        <f t="shared" si="1"/>
        <v>0</v>
      </c>
    </row>
    <row r="29" spans="1:39" customFormat="1" x14ac:dyDescent="0.25">
      <c r="A29" s="132" t="s">
        <v>116</v>
      </c>
      <c r="B29" s="134">
        <f t="shared" si="2"/>
        <v>5.1049080449057005</v>
      </c>
      <c r="C29" s="134">
        <f t="shared" ref="C29:AF37" si="3">10*C58</f>
        <v>17.0140381648907</v>
      </c>
      <c r="D29" s="134">
        <f t="shared" si="3"/>
        <v>8.6293329602032998</v>
      </c>
      <c r="E29" s="134">
        <f t="shared" si="3"/>
        <v>11.640980146011399</v>
      </c>
      <c r="F29" s="134">
        <f t="shared" si="3"/>
        <v>40.102137782161797</v>
      </c>
      <c r="G29" s="134">
        <f t="shared" si="3"/>
        <v>8.6900157849460609</v>
      </c>
      <c r="H29" s="134">
        <f t="shared" si="3"/>
        <v>0.49607377258262897</v>
      </c>
      <c r="I29" s="134">
        <f t="shared" si="3"/>
        <v>2.7284273633687298E-2</v>
      </c>
      <c r="J29" s="134">
        <f t="shared" si="3"/>
        <v>914.49517658947502</v>
      </c>
      <c r="K29" s="134">
        <f t="shared" si="3"/>
        <v>0.41317747997187598</v>
      </c>
      <c r="L29" s="134">
        <f t="shared" si="3"/>
        <v>2.6259870451641198</v>
      </c>
      <c r="M29" s="134">
        <f t="shared" si="3"/>
        <v>35.842148075608399</v>
      </c>
      <c r="N29" s="134">
        <f t="shared" si="3"/>
        <v>51.266804759755104</v>
      </c>
      <c r="O29" s="134">
        <f t="shared" si="3"/>
        <v>10.364326222455599</v>
      </c>
      <c r="P29" s="134">
        <f t="shared" si="3"/>
        <v>44.985761199503102</v>
      </c>
      <c r="Q29" s="134">
        <f t="shared" si="3"/>
        <v>9.4072484046270901</v>
      </c>
      <c r="R29" s="134">
        <f t="shared" si="3"/>
        <v>2.0080329443973799</v>
      </c>
      <c r="S29" s="134">
        <f t="shared" si="3"/>
        <v>9.8535516285613909</v>
      </c>
      <c r="T29" s="134">
        <f t="shared" si="3"/>
        <v>0.79801803882845301</v>
      </c>
      <c r="U29" s="134">
        <f t="shared" si="3"/>
        <v>5.8413594620830604</v>
      </c>
      <c r="V29" s="134">
        <f t="shared" si="3"/>
        <v>1.1609198739481099</v>
      </c>
      <c r="W29" s="134">
        <f t="shared" si="3"/>
        <v>2.9040968154814002</v>
      </c>
      <c r="X29" s="134">
        <f t="shared" si="3"/>
        <v>0.36809043936988095</v>
      </c>
      <c r="Y29" s="134">
        <f t="shared" si="3"/>
        <v>1.91697560507159</v>
      </c>
      <c r="Z29" s="134">
        <f t="shared" si="3"/>
        <v>0.26231206421616099</v>
      </c>
      <c r="AA29" s="134">
        <f t="shared" si="3"/>
        <v>0.38204745193033901</v>
      </c>
      <c r="AB29" s="134">
        <f t="shared" si="3"/>
        <v>5.2933922002113304E-2</v>
      </c>
      <c r="AC29" s="134">
        <f t="shared" si="3"/>
        <v>0.51435584473059304</v>
      </c>
      <c r="AD29" s="134">
        <f t="shared" si="3"/>
        <v>3.1591623610284501</v>
      </c>
      <c r="AE29" s="134">
        <f t="shared" si="3"/>
        <v>5.6331461535332705</v>
      </c>
      <c r="AF29" s="134">
        <f t="shared" si="3"/>
        <v>7.5329228322417698</v>
      </c>
      <c r="AG29" s="134">
        <f t="shared" si="1"/>
        <v>0</v>
      </c>
      <c r="AH29" s="134">
        <f t="shared" si="1"/>
        <v>0</v>
      </c>
      <c r="AI29" s="134">
        <f t="shared" si="1"/>
        <v>0</v>
      </c>
      <c r="AJ29" s="134">
        <f t="shared" si="1"/>
        <v>0</v>
      </c>
      <c r="AK29" s="134">
        <f t="shared" si="1"/>
        <v>96.150361882136508</v>
      </c>
      <c r="AL29" s="134">
        <f t="shared" si="1"/>
        <v>0</v>
      </c>
      <c r="AM29" s="134">
        <f t="shared" si="1"/>
        <v>0</v>
      </c>
    </row>
    <row r="30" spans="1:39" customFormat="1" x14ac:dyDescent="0.25">
      <c r="A30" s="132" t="s">
        <v>117</v>
      </c>
      <c r="B30" s="134">
        <f t="shared" si="2"/>
        <v>6.2456561434696001</v>
      </c>
      <c r="C30" s="134">
        <f t="shared" si="3"/>
        <v>23.980156028303998</v>
      </c>
      <c r="D30" s="134">
        <f t="shared" si="3"/>
        <v>12.7866841956802</v>
      </c>
      <c r="E30" s="134">
        <f t="shared" si="3"/>
        <v>20.815342470224998</v>
      </c>
      <c r="F30" s="134">
        <f t="shared" si="3"/>
        <v>146.308506364441</v>
      </c>
      <c r="G30" s="134">
        <f t="shared" si="3"/>
        <v>13.5216019506422</v>
      </c>
      <c r="H30" s="134">
        <f t="shared" si="3"/>
        <v>0.78334127841451306</v>
      </c>
      <c r="I30" s="134" t="e">
        <f t="shared" si="3"/>
        <v>#VALUE!</v>
      </c>
      <c r="J30" s="134">
        <f t="shared" si="3"/>
        <v>4283.1028838560096</v>
      </c>
      <c r="K30" s="134">
        <f t="shared" si="3"/>
        <v>0.52017315956044097</v>
      </c>
      <c r="L30" s="134">
        <f t="shared" si="3"/>
        <v>3.7491056942115804</v>
      </c>
      <c r="M30" s="134">
        <f t="shared" si="3"/>
        <v>126.331931014345</v>
      </c>
      <c r="N30" s="134">
        <f t="shared" si="3"/>
        <v>142.81697655153098</v>
      </c>
      <c r="O30" s="134">
        <f t="shared" si="3"/>
        <v>35.980575484642202</v>
      </c>
      <c r="P30" s="134">
        <f t="shared" si="3"/>
        <v>162.72844022436001</v>
      </c>
      <c r="Q30" s="134">
        <f t="shared" si="3"/>
        <v>34.732870330755297</v>
      </c>
      <c r="R30" s="134">
        <f t="shared" si="3"/>
        <v>7.86264348260808</v>
      </c>
      <c r="S30" s="134">
        <f t="shared" si="3"/>
        <v>39.229183379452799</v>
      </c>
      <c r="T30" s="134">
        <f t="shared" si="3"/>
        <v>4.27329661102939</v>
      </c>
      <c r="U30" s="134">
        <f t="shared" si="3"/>
        <v>23.191092057422701</v>
      </c>
      <c r="V30" s="134">
        <f t="shared" si="3"/>
        <v>4.42808217548572</v>
      </c>
      <c r="W30" s="134">
        <f t="shared" si="3"/>
        <v>10.301269785926099</v>
      </c>
      <c r="X30" s="134">
        <f t="shared" si="3"/>
        <v>1.06894328655213</v>
      </c>
      <c r="Y30" s="134">
        <f t="shared" si="3"/>
        <v>4.9847145114413198</v>
      </c>
      <c r="Z30" s="134">
        <f t="shared" si="3"/>
        <v>0.64465556053268103</v>
      </c>
      <c r="AA30" s="134">
        <f t="shared" si="3"/>
        <v>0.603609684903189</v>
      </c>
      <c r="AB30" s="134">
        <f t="shared" si="3"/>
        <v>7.0620783805796103E-2</v>
      </c>
      <c r="AC30" s="134">
        <f t="shared" si="3"/>
        <v>1.0565630006387998</v>
      </c>
      <c r="AD30" s="134">
        <f t="shared" si="3"/>
        <v>2.4780699196196099</v>
      </c>
      <c r="AE30" s="134">
        <f t="shared" si="3"/>
        <v>8.8076645178104087</v>
      </c>
      <c r="AF30" s="134">
        <f t="shared" si="3"/>
        <v>18.2638452306471</v>
      </c>
      <c r="AG30" s="134">
        <f t="shared" si="1"/>
        <v>0</v>
      </c>
      <c r="AH30" s="134">
        <f t="shared" si="1"/>
        <v>0</v>
      </c>
      <c r="AI30" s="134">
        <f t="shared" si="1"/>
        <v>0</v>
      </c>
      <c r="AJ30" s="134">
        <f t="shared" si="1"/>
        <v>0</v>
      </c>
      <c r="AK30" s="134">
        <f t="shared" si="1"/>
        <v>131.99551211354898</v>
      </c>
      <c r="AL30" s="134">
        <f t="shared" si="1"/>
        <v>0</v>
      </c>
      <c r="AM30" s="134">
        <f t="shared" si="1"/>
        <v>0</v>
      </c>
    </row>
    <row r="31" spans="1:39" customFormat="1" x14ac:dyDescent="0.25">
      <c r="A31" s="132" t="s">
        <v>118</v>
      </c>
      <c r="B31" s="134">
        <f t="shared" si="2"/>
        <v>7.6233393233274001</v>
      </c>
      <c r="C31" s="134">
        <f t="shared" si="3"/>
        <v>12.8867056192351</v>
      </c>
      <c r="D31" s="134">
        <f t="shared" si="3"/>
        <v>5.2624707917964795</v>
      </c>
      <c r="E31" s="134">
        <f t="shared" si="3"/>
        <v>10.904681222770801</v>
      </c>
      <c r="F31" s="134">
        <f t="shared" si="3"/>
        <v>38.735754154307699</v>
      </c>
      <c r="G31" s="134">
        <f t="shared" si="3"/>
        <v>8.4995200704974998</v>
      </c>
      <c r="H31" s="134">
        <f t="shared" si="3"/>
        <v>0.38411059807653497</v>
      </c>
      <c r="I31" s="134">
        <f t="shared" si="3"/>
        <v>1.72802399487362E-2</v>
      </c>
      <c r="J31" s="134">
        <f t="shared" si="3"/>
        <v>605.93542744079002</v>
      </c>
      <c r="K31" s="134">
        <f t="shared" si="3"/>
        <v>0.38254094985024401</v>
      </c>
      <c r="L31" s="134">
        <f t="shared" si="3"/>
        <v>2.4694394725214002</v>
      </c>
      <c r="M31" s="134">
        <f t="shared" si="3"/>
        <v>33.735005478423503</v>
      </c>
      <c r="N31" s="134">
        <f t="shared" si="3"/>
        <v>44.361975867527505</v>
      </c>
      <c r="O31" s="134">
        <f t="shared" si="3"/>
        <v>9.5992979749872003</v>
      </c>
      <c r="P31" s="134">
        <f t="shared" si="3"/>
        <v>42.776917794758702</v>
      </c>
      <c r="Q31" s="134">
        <f t="shared" si="3"/>
        <v>8.7202101676427404</v>
      </c>
      <c r="R31" s="134">
        <f t="shared" si="3"/>
        <v>1.8426715092944301</v>
      </c>
      <c r="S31" s="134">
        <f t="shared" si="3"/>
        <v>9.5912069717181012</v>
      </c>
      <c r="T31" s="134">
        <f t="shared" si="3"/>
        <v>0.72395286909297696</v>
      </c>
      <c r="U31" s="134">
        <f t="shared" si="3"/>
        <v>5.5425376440549199</v>
      </c>
      <c r="V31" s="134">
        <f t="shared" si="3"/>
        <v>1.11227267828346</v>
      </c>
      <c r="W31" s="134">
        <f t="shared" si="3"/>
        <v>2.6590591348527099</v>
      </c>
      <c r="X31" s="134">
        <f t="shared" si="3"/>
        <v>0.28942534739267101</v>
      </c>
      <c r="Y31" s="134">
        <f t="shared" si="3"/>
        <v>1.62598273215413</v>
      </c>
      <c r="Z31" s="134">
        <f t="shared" si="3"/>
        <v>0.22198971285141</v>
      </c>
      <c r="AA31" s="134">
        <f t="shared" si="3"/>
        <v>0.39442095791936299</v>
      </c>
      <c r="AB31" s="134">
        <f t="shared" si="3"/>
        <v>6.0081995497171192E-2</v>
      </c>
      <c r="AC31" s="134">
        <f t="shared" si="3"/>
        <v>0.3415616524158</v>
      </c>
      <c r="AD31" s="134">
        <f t="shared" si="3"/>
        <v>2.6952745531345901</v>
      </c>
      <c r="AE31" s="134">
        <f t="shared" si="3"/>
        <v>5.8533950154142804</v>
      </c>
      <c r="AF31" s="134">
        <f t="shared" si="3"/>
        <v>9.9112706422753014</v>
      </c>
      <c r="AG31" s="134">
        <f t="shared" si="1"/>
        <v>0</v>
      </c>
      <c r="AH31" s="134">
        <f t="shared" si="1"/>
        <v>0.76437571433523699</v>
      </c>
      <c r="AI31" s="134">
        <f t="shared" si="1"/>
        <v>4.0678552149096099</v>
      </c>
      <c r="AJ31" s="134">
        <f t="shared" si="1"/>
        <v>0.87128735511748601</v>
      </c>
      <c r="AK31" s="134">
        <f t="shared" si="1"/>
        <v>520.69203895107796</v>
      </c>
      <c r="AL31" s="134">
        <f t="shared" si="1"/>
        <v>14.879819279165801</v>
      </c>
      <c r="AM31" s="134">
        <f t="shared" si="1"/>
        <v>0</v>
      </c>
    </row>
    <row r="32" spans="1:39" customFormat="1" x14ac:dyDescent="0.25">
      <c r="A32" s="132" t="s">
        <v>119</v>
      </c>
      <c r="B32" s="134">
        <f t="shared" si="2"/>
        <v>8.3988383766848003</v>
      </c>
      <c r="C32" s="134">
        <f t="shared" si="3"/>
        <v>44.586936119927401</v>
      </c>
      <c r="D32" s="134">
        <f t="shared" si="3"/>
        <v>25.320400713318499</v>
      </c>
      <c r="E32" s="134">
        <f t="shared" si="3"/>
        <v>12.560229080980701</v>
      </c>
      <c r="F32" s="134">
        <f t="shared" si="3"/>
        <v>58.367539077492196</v>
      </c>
      <c r="G32" s="134">
        <f t="shared" si="3"/>
        <v>11.166079372062899</v>
      </c>
      <c r="H32" s="134">
        <f t="shared" si="3"/>
        <v>1.3370461947842798</v>
      </c>
      <c r="I32" s="134">
        <f t="shared" si="3"/>
        <v>9.5935274932053907E-2</v>
      </c>
      <c r="J32" s="134">
        <f t="shared" si="3"/>
        <v>6674.1580261381296</v>
      </c>
      <c r="K32" s="134">
        <f t="shared" si="3"/>
        <v>0.24510606718037597</v>
      </c>
      <c r="L32" s="134">
        <f t="shared" si="3"/>
        <v>3.3318485272409397</v>
      </c>
      <c r="M32" s="134">
        <f t="shared" si="3"/>
        <v>50.269864830378097</v>
      </c>
      <c r="N32" s="134">
        <f t="shared" si="3"/>
        <v>74.093143053853908</v>
      </c>
      <c r="O32" s="134">
        <f t="shared" si="3"/>
        <v>14.932508100664299</v>
      </c>
      <c r="P32" s="134">
        <f t="shared" si="3"/>
        <v>64.5030868986088</v>
      </c>
      <c r="Q32" s="134">
        <f t="shared" si="3"/>
        <v>13.1670262255283</v>
      </c>
      <c r="R32" s="134">
        <f t="shared" si="3"/>
        <v>2.7380394595565098</v>
      </c>
      <c r="S32" s="134">
        <f t="shared" si="3"/>
        <v>14.373905215721202</v>
      </c>
      <c r="T32" s="134">
        <f t="shared" si="3"/>
        <v>1.3019858767185399</v>
      </c>
      <c r="U32" s="134">
        <f t="shared" si="3"/>
        <v>8.5732323662772103</v>
      </c>
      <c r="V32" s="134">
        <f t="shared" si="3"/>
        <v>1.5986892453041801</v>
      </c>
      <c r="W32" s="134">
        <f t="shared" si="3"/>
        <v>4.2028298603546697</v>
      </c>
      <c r="X32" s="134">
        <f t="shared" si="3"/>
        <v>0.50071148268605103</v>
      </c>
      <c r="Y32" s="134">
        <f t="shared" si="3"/>
        <v>2.6628125234804498</v>
      </c>
      <c r="Z32" s="134">
        <f t="shared" si="3"/>
        <v>0.370162272649737</v>
      </c>
      <c r="AA32" s="134">
        <f t="shared" si="3"/>
        <v>0.42311409125263</v>
      </c>
      <c r="AB32" s="134">
        <f t="shared" si="3"/>
        <v>5.3697639013092803E-2</v>
      </c>
      <c r="AC32" s="134">
        <f t="shared" si="3"/>
        <v>2.18866660329885</v>
      </c>
      <c r="AD32" s="134">
        <f t="shared" si="3"/>
        <v>2.6150092965004701</v>
      </c>
      <c r="AE32" s="134">
        <f t="shared" si="3"/>
        <v>7.8332795319811597</v>
      </c>
      <c r="AF32" s="134">
        <f t="shared" si="3"/>
        <v>10.0686046290052</v>
      </c>
      <c r="AG32" s="134">
        <f t="shared" si="1"/>
        <v>0</v>
      </c>
      <c r="AH32" s="134">
        <f t="shared" si="1"/>
        <v>0</v>
      </c>
      <c r="AI32" s="134">
        <f t="shared" si="1"/>
        <v>1.00597810474951</v>
      </c>
      <c r="AJ32" s="134">
        <f t="shared" si="1"/>
        <v>0</v>
      </c>
      <c r="AK32" s="134">
        <f t="shared" si="1"/>
        <v>321.99930041954406</v>
      </c>
      <c r="AL32" s="134">
        <f t="shared" si="1"/>
        <v>0</v>
      </c>
      <c r="AM32" s="134">
        <f t="shared" si="1"/>
        <v>0</v>
      </c>
    </row>
    <row r="33" spans="1:39" customFormat="1" x14ac:dyDescent="0.25">
      <c r="A33" s="132" t="s">
        <v>120</v>
      </c>
      <c r="B33" s="134">
        <f t="shared" si="2"/>
        <v>6.9081209590238002</v>
      </c>
      <c r="C33" s="134">
        <f t="shared" si="3"/>
        <v>57.760729061451897</v>
      </c>
      <c r="D33" s="134">
        <f t="shared" si="3"/>
        <v>20.362329170577599</v>
      </c>
      <c r="E33" s="134">
        <f t="shared" si="3"/>
        <v>17.938969790722098</v>
      </c>
      <c r="F33" s="134">
        <f t="shared" si="3"/>
        <v>47.152585857512399</v>
      </c>
      <c r="G33" s="134">
        <f t="shared" si="3"/>
        <v>11.530346234591599</v>
      </c>
      <c r="H33" s="134">
        <f t="shared" si="3"/>
        <v>1.06430923811484</v>
      </c>
      <c r="I33" s="134">
        <f t="shared" si="3"/>
        <v>0.35840255101670704</v>
      </c>
      <c r="J33" s="134">
        <f t="shared" si="3"/>
        <v>5560.5445231362401</v>
      </c>
      <c r="K33" s="134">
        <f t="shared" si="3"/>
        <v>0.38477308693097001</v>
      </c>
      <c r="L33" s="134">
        <f t="shared" si="3"/>
        <v>3.4634581575866603</v>
      </c>
      <c r="M33" s="134">
        <f t="shared" si="3"/>
        <v>43.152475447582901</v>
      </c>
      <c r="N33" s="134">
        <f t="shared" si="3"/>
        <v>66.939417193153702</v>
      </c>
      <c r="O33" s="134">
        <f t="shared" si="3"/>
        <v>12.6226534694169</v>
      </c>
      <c r="P33" s="134">
        <f t="shared" si="3"/>
        <v>54.3882001361603</v>
      </c>
      <c r="Q33" s="134">
        <f t="shared" si="3"/>
        <v>10.798752852671301</v>
      </c>
      <c r="R33" s="134">
        <f t="shared" si="3"/>
        <v>2.3131476708732404</v>
      </c>
      <c r="S33" s="134">
        <f t="shared" si="3"/>
        <v>12.1743200497746</v>
      </c>
      <c r="T33" s="134">
        <f t="shared" si="3"/>
        <v>1.0135564223025999</v>
      </c>
      <c r="U33" s="134">
        <f t="shared" si="3"/>
        <v>6.7179712053319598</v>
      </c>
      <c r="V33" s="134">
        <f t="shared" si="3"/>
        <v>1.2978617667115699</v>
      </c>
      <c r="W33" s="134">
        <f t="shared" si="3"/>
        <v>3.39022696843569</v>
      </c>
      <c r="X33" s="134">
        <f t="shared" si="3"/>
        <v>0.38525012090535499</v>
      </c>
      <c r="Y33" s="134">
        <f t="shared" si="3"/>
        <v>2.0974308414790901</v>
      </c>
      <c r="Z33" s="134">
        <f t="shared" si="3"/>
        <v>0.31024940373604903</v>
      </c>
      <c r="AA33" s="134">
        <f t="shared" si="3"/>
        <v>0.40039013372540899</v>
      </c>
      <c r="AB33" s="134">
        <f t="shared" si="3"/>
        <v>5.0276195025380499E-2</v>
      </c>
      <c r="AC33" s="134">
        <f t="shared" si="3"/>
        <v>1.5253876744844399</v>
      </c>
      <c r="AD33" s="134">
        <f t="shared" si="3"/>
        <v>2.47044238856529</v>
      </c>
      <c r="AE33" s="134">
        <f t="shared" si="3"/>
        <v>6.6799725332202193</v>
      </c>
      <c r="AF33" s="134">
        <f t="shared" si="3"/>
        <v>9.5638882377427805</v>
      </c>
      <c r="AG33" s="134">
        <f t="shared" si="1"/>
        <v>0</v>
      </c>
      <c r="AH33" s="134">
        <f t="shared" si="1"/>
        <v>0</v>
      </c>
      <c r="AI33" s="134">
        <f t="shared" si="1"/>
        <v>0.81077366833009501</v>
      </c>
      <c r="AJ33" s="134">
        <f t="shared" si="1"/>
        <v>0</v>
      </c>
      <c r="AK33" s="134">
        <f t="shared" si="1"/>
        <v>321.90131862826001</v>
      </c>
      <c r="AL33" s="134">
        <f t="shared" si="1"/>
        <v>0</v>
      </c>
      <c r="AM33" s="134">
        <f t="shared" si="1"/>
        <v>0</v>
      </c>
    </row>
    <row r="34" spans="1:39" customFormat="1" x14ac:dyDescent="0.25">
      <c r="A34" s="132" t="s">
        <v>121</v>
      </c>
      <c r="B34" s="134">
        <f t="shared" si="2"/>
        <v>7.0761130808095594</v>
      </c>
      <c r="C34" s="134">
        <f t="shared" si="3"/>
        <v>37.585250892182302</v>
      </c>
      <c r="D34" s="134">
        <f t="shared" si="3"/>
        <v>19.967579576892401</v>
      </c>
      <c r="E34" s="134">
        <f t="shared" si="3"/>
        <v>14.7390627303107</v>
      </c>
      <c r="F34" s="134">
        <f t="shared" si="3"/>
        <v>48.757039975576298</v>
      </c>
      <c r="G34" s="134">
        <f t="shared" si="3"/>
        <v>11.3386370347196</v>
      </c>
      <c r="H34" s="134">
        <f t="shared" si="3"/>
        <v>1.02345279855439</v>
      </c>
      <c r="I34" s="134" t="e">
        <f t="shared" si="3"/>
        <v>#VALUE!</v>
      </c>
      <c r="J34" s="134">
        <f t="shared" si="3"/>
        <v>12033.374837592</v>
      </c>
      <c r="K34" s="134">
        <f t="shared" si="3"/>
        <v>0.27797326491770602</v>
      </c>
      <c r="L34" s="134">
        <f t="shared" si="3"/>
        <v>3.2725045408824198</v>
      </c>
      <c r="M34" s="134">
        <f t="shared" si="3"/>
        <v>44.945893054550197</v>
      </c>
      <c r="N34" s="134">
        <f t="shared" si="3"/>
        <v>71.012568835992795</v>
      </c>
      <c r="O34" s="134">
        <f t="shared" si="3"/>
        <v>13.1794565408156</v>
      </c>
      <c r="P34" s="134">
        <f t="shared" si="3"/>
        <v>57.329797302341305</v>
      </c>
      <c r="Q34" s="134">
        <f t="shared" si="3"/>
        <v>11.3781243432793</v>
      </c>
      <c r="R34" s="134">
        <f t="shared" si="3"/>
        <v>2.4387399901771301</v>
      </c>
      <c r="S34" s="134">
        <f t="shared" si="3"/>
        <v>12.227538217503399</v>
      </c>
      <c r="T34" s="134">
        <f t="shared" si="3"/>
        <v>1.08767436279593</v>
      </c>
      <c r="U34" s="134">
        <f t="shared" si="3"/>
        <v>7.2024792120767103</v>
      </c>
      <c r="V34" s="134">
        <f t="shared" si="3"/>
        <v>1.4261477621483101</v>
      </c>
      <c r="W34" s="134">
        <f t="shared" si="3"/>
        <v>3.6172564620283501</v>
      </c>
      <c r="X34" s="134">
        <f t="shared" si="3"/>
        <v>0.43017503509900501</v>
      </c>
      <c r="Y34" s="134">
        <f t="shared" si="3"/>
        <v>2.4694182036094099</v>
      </c>
      <c r="Z34" s="134">
        <f t="shared" si="3"/>
        <v>0.34591362218161104</v>
      </c>
      <c r="AA34" s="134">
        <f t="shared" si="3"/>
        <v>0.37233479530004698</v>
      </c>
      <c r="AB34" s="134">
        <f t="shared" si="3"/>
        <v>4.5433171122065998E-2</v>
      </c>
      <c r="AC34" s="134">
        <f t="shared" si="3"/>
        <v>1.7421720752624001</v>
      </c>
      <c r="AD34" s="134">
        <f t="shared" si="3"/>
        <v>3.1627621015064902</v>
      </c>
      <c r="AE34" s="134">
        <f t="shared" si="3"/>
        <v>7.6122838893709899</v>
      </c>
      <c r="AF34" s="134">
        <f t="shared" si="3"/>
        <v>9.3891506346215401</v>
      </c>
      <c r="AG34" s="134">
        <f t="shared" si="1"/>
        <v>0</v>
      </c>
      <c r="AH34" s="134">
        <f t="shared" si="1"/>
        <v>0</v>
      </c>
      <c r="AI34" s="134">
        <f t="shared" si="1"/>
        <v>0.61755166230099801</v>
      </c>
      <c r="AJ34" s="134">
        <f t="shared" si="1"/>
        <v>0</v>
      </c>
      <c r="AK34" s="134">
        <f t="shared" si="1"/>
        <v>257.70576878936004</v>
      </c>
      <c r="AL34" s="134">
        <f t="shared" si="1"/>
        <v>0</v>
      </c>
      <c r="AM34" s="134">
        <f t="shared" si="1"/>
        <v>0</v>
      </c>
    </row>
    <row r="35" spans="1:39" customFormat="1" x14ac:dyDescent="0.25">
      <c r="A35" s="132" t="s">
        <v>122</v>
      </c>
      <c r="B35" s="134">
        <f t="shared" si="2"/>
        <v>9.0055901142338506</v>
      </c>
      <c r="C35" s="134">
        <f t="shared" si="3"/>
        <v>38.212107574508799</v>
      </c>
      <c r="D35" s="134">
        <f t="shared" si="3"/>
        <v>20.937777030724</v>
      </c>
      <c r="E35" s="134">
        <f t="shared" si="3"/>
        <v>17.527729060861901</v>
      </c>
      <c r="F35" s="134">
        <f t="shared" si="3"/>
        <v>58.618859842208799</v>
      </c>
      <c r="G35" s="134">
        <f t="shared" si="3"/>
        <v>12.9066645853129</v>
      </c>
      <c r="H35" s="134">
        <f t="shared" si="3"/>
        <v>1.27850818736963</v>
      </c>
      <c r="I35" s="134">
        <f t="shared" si="3"/>
        <v>2.5212799173053503E-2</v>
      </c>
      <c r="J35" s="134">
        <f t="shared" si="3"/>
        <v>46359.7124742058</v>
      </c>
      <c r="K35" s="134">
        <f t="shared" si="3"/>
        <v>0.45696525396841103</v>
      </c>
      <c r="L35" s="134">
        <f t="shared" si="3"/>
        <v>3.7979733468721202</v>
      </c>
      <c r="M35" s="134">
        <f t="shared" si="3"/>
        <v>53.170716520004703</v>
      </c>
      <c r="N35" s="134">
        <f t="shared" si="3"/>
        <v>84.712942185659102</v>
      </c>
      <c r="O35" s="134">
        <f t="shared" si="3"/>
        <v>15.521625535020899</v>
      </c>
      <c r="P35" s="134">
        <f t="shared" si="3"/>
        <v>66.365280892735896</v>
      </c>
      <c r="Q35" s="134">
        <f t="shared" si="3"/>
        <v>13.5191751433</v>
      </c>
      <c r="R35" s="134">
        <f t="shared" si="3"/>
        <v>3.0437748853672701</v>
      </c>
      <c r="S35" s="134">
        <f t="shared" si="3"/>
        <v>14.2216563245802</v>
      </c>
      <c r="T35" s="134">
        <f t="shared" si="3"/>
        <v>1.3480441893522899</v>
      </c>
      <c r="U35" s="134">
        <f t="shared" si="3"/>
        <v>8.6613271284219095</v>
      </c>
      <c r="V35" s="134">
        <f t="shared" si="3"/>
        <v>1.71252069505032</v>
      </c>
      <c r="W35" s="134">
        <f t="shared" si="3"/>
        <v>4.4770839015781503</v>
      </c>
      <c r="X35" s="134">
        <f t="shared" si="3"/>
        <v>0.51283517442690696</v>
      </c>
      <c r="Y35" s="134">
        <f t="shared" si="3"/>
        <v>2.9334297965151803</v>
      </c>
      <c r="Z35" s="134">
        <f t="shared" si="3"/>
        <v>0.402327301763995</v>
      </c>
      <c r="AA35" s="134">
        <f t="shared" si="3"/>
        <v>0.48316000673793497</v>
      </c>
      <c r="AB35" s="134">
        <f t="shared" si="3"/>
        <v>5.2702649456550101E-2</v>
      </c>
      <c r="AC35" s="134">
        <f t="shared" si="3"/>
        <v>2.4482437705773599</v>
      </c>
      <c r="AD35" s="134">
        <f t="shared" si="3"/>
        <v>1.6608211470912098</v>
      </c>
      <c r="AE35" s="134">
        <f t="shared" si="3"/>
        <v>8.1441662277175695</v>
      </c>
      <c r="AF35" s="134">
        <f t="shared" si="3"/>
        <v>10.615087400286999</v>
      </c>
      <c r="AG35" s="134">
        <f t="shared" si="1"/>
        <v>0</v>
      </c>
      <c r="AH35" s="134">
        <f t="shared" si="1"/>
        <v>0</v>
      </c>
      <c r="AI35" s="134">
        <f t="shared" si="1"/>
        <v>0.95270154122853501</v>
      </c>
      <c r="AJ35" s="134">
        <f t="shared" si="1"/>
        <v>0</v>
      </c>
      <c r="AK35" s="134">
        <f t="shared" si="1"/>
        <v>258.355248533154</v>
      </c>
      <c r="AL35" s="134">
        <f t="shared" si="1"/>
        <v>0</v>
      </c>
      <c r="AM35" s="134">
        <f t="shared" si="1"/>
        <v>0</v>
      </c>
    </row>
    <row r="36" spans="1:39" customFormat="1" x14ac:dyDescent="0.25">
      <c r="A36" s="132" t="s">
        <v>123</v>
      </c>
      <c r="B36" s="134">
        <f t="shared" si="2"/>
        <v>7.27027878124919</v>
      </c>
      <c r="C36" s="134">
        <f t="shared" si="3"/>
        <v>31.027698406523001</v>
      </c>
      <c r="D36" s="134">
        <f t="shared" si="3"/>
        <v>13.8974271273685</v>
      </c>
      <c r="E36" s="134">
        <f t="shared" si="3"/>
        <v>13.535153468517599</v>
      </c>
      <c r="F36" s="134">
        <f t="shared" si="3"/>
        <v>52.958715201048307</v>
      </c>
      <c r="G36" s="134">
        <f t="shared" si="3"/>
        <v>11.402030964365199</v>
      </c>
      <c r="H36" s="134">
        <f t="shared" si="3"/>
        <v>1.0391388621955</v>
      </c>
      <c r="I36" s="134">
        <f t="shared" si="3"/>
        <v>0.77286027853945893</v>
      </c>
      <c r="J36" s="134">
        <f t="shared" si="3"/>
        <v>6505.5812082303701</v>
      </c>
      <c r="K36" s="134">
        <f t="shared" si="3"/>
        <v>0.67350589331116095</v>
      </c>
      <c r="L36" s="134">
        <f t="shared" si="3"/>
        <v>3.4078130358041099</v>
      </c>
      <c r="M36" s="134">
        <f t="shared" si="3"/>
        <v>47.167432917454697</v>
      </c>
      <c r="N36" s="134">
        <f t="shared" si="3"/>
        <v>73.739064587454394</v>
      </c>
      <c r="O36" s="134">
        <f t="shared" si="3"/>
        <v>13.9227035885944</v>
      </c>
      <c r="P36" s="134">
        <f t="shared" si="3"/>
        <v>60.082931761609302</v>
      </c>
      <c r="Q36" s="134">
        <f t="shared" si="3"/>
        <v>11.987713903703801</v>
      </c>
      <c r="R36" s="134">
        <f t="shared" si="3"/>
        <v>2.6105972989383104</v>
      </c>
      <c r="S36" s="134">
        <f t="shared" si="3"/>
        <v>12.7586059361953</v>
      </c>
      <c r="T36" s="134">
        <f t="shared" si="3"/>
        <v>1.15417243195444</v>
      </c>
      <c r="U36" s="134">
        <f t="shared" si="3"/>
        <v>7.5434895080709898</v>
      </c>
      <c r="V36" s="134">
        <f t="shared" si="3"/>
        <v>1.5064061437499199</v>
      </c>
      <c r="W36" s="134">
        <f t="shared" si="3"/>
        <v>3.9040834582297599</v>
      </c>
      <c r="X36" s="134">
        <f t="shared" si="3"/>
        <v>0.45010995554943301</v>
      </c>
      <c r="Y36" s="134">
        <f t="shared" si="3"/>
        <v>2.5412859342083598</v>
      </c>
      <c r="Z36" s="134">
        <f t="shared" si="3"/>
        <v>0.39248154256804102</v>
      </c>
      <c r="AA36" s="134">
        <f t="shared" si="3"/>
        <v>0.48475518015518904</v>
      </c>
      <c r="AB36" s="134">
        <f t="shared" si="3"/>
        <v>0.10986907913994501</v>
      </c>
      <c r="AC36" s="134">
        <f t="shared" si="3"/>
        <v>1.4513505548904801</v>
      </c>
      <c r="AD36" s="134">
        <f t="shared" si="3"/>
        <v>1.12272350259139</v>
      </c>
      <c r="AE36" s="134">
        <f t="shared" si="3"/>
        <v>7.5782117672575398</v>
      </c>
      <c r="AF36" s="134">
        <f t="shared" si="3"/>
        <v>9.6993029071557793</v>
      </c>
      <c r="AG36" s="134">
        <f t="shared" ref="AG36:AM36" si="4">10*AG65</f>
        <v>0</v>
      </c>
      <c r="AH36" s="134">
        <f t="shared" si="4"/>
        <v>0</v>
      </c>
      <c r="AI36" s="134">
        <f t="shared" si="4"/>
        <v>1.5196795136546801</v>
      </c>
      <c r="AJ36" s="134">
        <f t="shared" si="4"/>
        <v>0</v>
      </c>
      <c r="AK36" s="134">
        <f t="shared" si="4"/>
        <v>199.59209722956101</v>
      </c>
      <c r="AL36" s="134">
        <f t="shared" si="4"/>
        <v>0.68542640994396897</v>
      </c>
      <c r="AM36" s="134">
        <f t="shared" si="4"/>
        <v>0</v>
      </c>
    </row>
    <row r="37" spans="1:39" customFormat="1" x14ac:dyDescent="0.25">
      <c r="A37" s="132" t="s">
        <v>124</v>
      </c>
      <c r="B37" s="134">
        <f t="shared" si="2"/>
        <v>6.8797967577799497</v>
      </c>
      <c r="C37" s="134">
        <f t="shared" si="3"/>
        <v>26.210082019485998</v>
      </c>
      <c r="D37" s="134">
        <f t="shared" si="3"/>
        <v>10.024306467520001</v>
      </c>
      <c r="E37" s="134">
        <f t="shared" si="3"/>
        <v>11.221298819632398</v>
      </c>
      <c r="F37" s="134">
        <f t="shared" si="3"/>
        <v>51.933155996852499</v>
      </c>
      <c r="G37" s="134">
        <f t="shared" si="3"/>
        <v>9.7928931904192691</v>
      </c>
      <c r="H37" s="134">
        <f t="shared" si="3"/>
        <v>0.71169351476277798</v>
      </c>
      <c r="I37" s="134">
        <f t="shared" si="3"/>
        <v>0.35143272385046997</v>
      </c>
      <c r="J37" s="134">
        <f t="shared" si="3"/>
        <v>22874.995647891003</v>
      </c>
      <c r="K37" s="134">
        <f t="shared" si="3"/>
        <v>0.597510087503063</v>
      </c>
      <c r="L37" s="134">
        <f t="shared" si="3"/>
        <v>2.9489297952294602</v>
      </c>
      <c r="M37" s="134">
        <f t="shared" si="3"/>
        <v>44.152206000891603</v>
      </c>
      <c r="N37" s="134">
        <f t="shared" si="3"/>
        <v>68.319483256034204</v>
      </c>
      <c r="O37" s="134">
        <f t="shared" si="3"/>
        <v>13.5115885361373</v>
      </c>
      <c r="P37" s="134">
        <f t="shared" si="3"/>
        <v>58.752230390103705</v>
      </c>
      <c r="Q37" s="134">
        <f t="shared" si="3"/>
        <v>11.875800032356201</v>
      </c>
      <c r="R37" s="134">
        <f t="shared" ref="C37:AF38" si="5">10*R66</f>
        <v>2.4589330505168698</v>
      </c>
      <c r="S37" s="134">
        <f t="shared" si="5"/>
        <v>13.2568947907468</v>
      </c>
      <c r="T37" s="134">
        <f t="shared" si="5"/>
        <v>1.1560747201461601</v>
      </c>
      <c r="U37" s="134">
        <f t="shared" si="5"/>
        <v>7.7012244659771003</v>
      </c>
      <c r="V37" s="134">
        <f t="shared" si="5"/>
        <v>1.4343716390313499</v>
      </c>
      <c r="W37" s="134">
        <f t="shared" si="5"/>
        <v>3.85678543666587</v>
      </c>
      <c r="X37" s="134">
        <f t="shared" si="5"/>
        <v>0.41910586839902397</v>
      </c>
      <c r="Y37" s="134">
        <f t="shared" si="5"/>
        <v>2.5890322166508599</v>
      </c>
      <c r="Z37" s="134">
        <f t="shared" si="5"/>
        <v>0.32656427668170296</v>
      </c>
      <c r="AA37" s="134">
        <f t="shared" si="5"/>
        <v>0.45163793280252196</v>
      </c>
      <c r="AB37" s="134">
        <f t="shared" si="5"/>
        <v>8.014934122809439E-2</v>
      </c>
      <c r="AC37" s="134">
        <f t="shared" si="5"/>
        <v>1.0102288401047901</v>
      </c>
      <c r="AD37" s="134">
        <f t="shared" si="5"/>
        <v>1.3404570497632702</v>
      </c>
      <c r="AE37" s="134">
        <f t="shared" si="5"/>
        <v>7.2581338862464593</v>
      </c>
      <c r="AF37" s="134">
        <f t="shared" si="5"/>
        <v>10.5634176951949</v>
      </c>
      <c r="AG37" s="134">
        <f t="shared" ref="AG37:AM37" si="6">10*AG66</f>
        <v>0</v>
      </c>
      <c r="AH37" s="134">
        <f t="shared" si="6"/>
        <v>0</v>
      </c>
      <c r="AI37" s="134">
        <f t="shared" si="6"/>
        <v>0.119184628431586</v>
      </c>
      <c r="AJ37" s="134">
        <f t="shared" si="6"/>
        <v>0</v>
      </c>
      <c r="AK37" s="134">
        <f t="shared" si="6"/>
        <v>175.10510891761899</v>
      </c>
      <c r="AL37" s="134">
        <f t="shared" si="6"/>
        <v>0</v>
      </c>
      <c r="AM37" s="134">
        <f t="shared" si="6"/>
        <v>0</v>
      </c>
    </row>
    <row r="38" spans="1:39" customFormat="1" x14ac:dyDescent="0.25">
      <c r="A38" s="132" t="s">
        <v>182</v>
      </c>
      <c r="B38" s="134">
        <f t="shared" si="2"/>
        <v>27.0225366951632</v>
      </c>
      <c r="C38" s="134">
        <f t="shared" si="5"/>
        <v>26.258760328017701</v>
      </c>
      <c r="D38" s="134">
        <f t="shared" si="5"/>
        <v>7.3160298274640905</v>
      </c>
      <c r="E38" s="134">
        <f t="shared" si="5"/>
        <v>137.319182458624</v>
      </c>
      <c r="F38" s="134">
        <f t="shared" si="5"/>
        <v>43.258753851673795</v>
      </c>
      <c r="G38" s="134">
        <f t="shared" si="5"/>
        <v>33.164561537506501</v>
      </c>
      <c r="H38" s="134">
        <f t="shared" si="5"/>
        <v>2.9233020428956702</v>
      </c>
      <c r="I38" s="134">
        <f t="shared" si="5"/>
        <v>0.72918221984417309</v>
      </c>
      <c r="J38" s="134">
        <f t="shared" si="5"/>
        <v>147.97287256175701</v>
      </c>
      <c r="K38" s="134">
        <f t="shared" si="5"/>
        <v>3.2651948094058802</v>
      </c>
      <c r="L38" s="134">
        <f t="shared" si="5"/>
        <v>18.994571261219598</v>
      </c>
      <c r="M38" s="134">
        <f t="shared" si="5"/>
        <v>82.569663343929491</v>
      </c>
      <c r="N38" s="134">
        <f t="shared" si="5"/>
        <v>170.24895790831499</v>
      </c>
      <c r="O38" s="134">
        <f t="shared" si="5"/>
        <v>19.3787358948573</v>
      </c>
      <c r="P38" s="134">
        <f t="shared" si="5"/>
        <v>73.232653800493907</v>
      </c>
      <c r="Q38" s="134">
        <f t="shared" si="5"/>
        <v>14.7077202605343</v>
      </c>
      <c r="R38" s="134">
        <f t="shared" si="5"/>
        <v>4.0636098289551494</v>
      </c>
      <c r="S38" s="134">
        <f t="shared" si="5"/>
        <v>15.057523702090801</v>
      </c>
      <c r="T38" s="134">
        <f t="shared" si="5"/>
        <v>1.45667022702503</v>
      </c>
      <c r="U38" s="134">
        <f t="shared" si="5"/>
        <v>9.1626077707150309</v>
      </c>
      <c r="V38" s="134">
        <f t="shared" si="5"/>
        <v>1.7756125675909202</v>
      </c>
      <c r="W38" s="134">
        <f t="shared" si="5"/>
        <v>4.7403075683729003</v>
      </c>
      <c r="X38" s="134">
        <f t="shared" si="5"/>
        <v>0.67846007449370804</v>
      </c>
      <c r="Y38" s="134">
        <f t="shared" si="5"/>
        <v>3.9109305935108303</v>
      </c>
      <c r="Z38" s="134">
        <f t="shared" si="5"/>
        <v>0.59032485196759699</v>
      </c>
      <c r="AA38" s="134">
        <f t="shared" si="5"/>
        <v>1.5349375755471599</v>
      </c>
      <c r="AB38" s="134">
        <f t="shared" si="5"/>
        <v>0.58142630149345598</v>
      </c>
      <c r="AC38" s="134">
        <f t="shared" si="5"/>
        <v>1.4428451597551799</v>
      </c>
      <c r="AD38" s="134">
        <f t="shared" si="5"/>
        <v>3.68988435827788</v>
      </c>
      <c r="AE38" s="134">
        <f t="shared" si="5"/>
        <v>35.588426594158101</v>
      </c>
      <c r="AF38" s="134">
        <f t="shared" si="5"/>
        <v>7.7176663044695006</v>
      </c>
      <c r="AG38" s="134">
        <f t="shared" ref="AG38:AM38" si="7">10*AG67</f>
        <v>0</v>
      </c>
      <c r="AH38" s="134">
        <f t="shared" si="7"/>
        <v>0</v>
      </c>
      <c r="AI38" s="134">
        <f t="shared" si="7"/>
        <v>0</v>
      </c>
      <c r="AJ38" s="134">
        <f t="shared" si="7"/>
        <v>0</v>
      </c>
      <c r="AK38" s="134">
        <f t="shared" si="7"/>
        <v>1.0174631611326199</v>
      </c>
      <c r="AL38" s="134">
        <f t="shared" si="7"/>
        <v>1.0175622002843101</v>
      </c>
      <c r="AM38" s="134">
        <f t="shared" si="7"/>
        <v>0</v>
      </c>
    </row>
    <row r="39" spans="1:39" customFormat="1" x14ac:dyDescent="0.25">
      <c r="B39" s="147" t="s">
        <v>126</v>
      </c>
      <c r="C39" s="147"/>
      <c r="D39" s="147"/>
      <c r="E39" s="147"/>
      <c r="F39" s="147"/>
      <c r="G39" s="147"/>
      <c r="H39" s="147"/>
      <c r="I39" s="147"/>
      <c r="J39" s="147"/>
      <c r="AG39" s="2"/>
      <c r="AH39" s="2"/>
      <c r="AI39" s="2"/>
      <c r="AJ39" s="2"/>
      <c r="AK39" s="2"/>
      <c r="AL39" s="2"/>
      <c r="AM39" s="2"/>
    </row>
    <row r="40" spans="1:39" x14ac:dyDescent="0.25">
      <c r="B40" s="115" t="s">
        <v>101</v>
      </c>
      <c r="C40" s="115"/>
      <c r="D40" s="115"/>
      <c r="E40" s="115"/>
      <c r="F40" s="115"/>
      <c r="AG40"/>
      <c r="AH40"/>
      <c r="AI40"/>
      <c r="AJ40"/>
      <c r="AK40"/>
      <c r="AL40"/>
      <c r="AM40"/>
    </row>
    <row r="41" spans="1:39" customFormat="1" x14ac:dyDescent="0.25">
      <c r="A41" s="97" t="s">
        <v>93</v>
      </c>
      <c r="B41" s="86"/>
      <c r="C41" s="87" t="s">
        <v>12</v>
      </c>
      <c r="D41" s="87" t="s">
        <v>63</v>
      </c>
      <c r="E41" s="87" t="s">
        <v>64</v>
      </c>
      <c r="F41" s="87" t="s">
        <v>65</v>
      </c>
      <c r="G41" s="87" t="s">
        <v>66</v>
      </c>
      <c r="H41" s="87" t="s">
        <v>67</v>
      </c>
      <c r="I41" s="87" t="s">
        <v>68</v>
      </c>
      <c r="J41" s="87" t="s">
        <v>69</v>
      </c>
      <c r="K41" s="87" t="s">
        <v>70</v>
      </c>
      <c r="L41" s="87" t="s">
        <v>71</v>
      </c>
      <c r="M41" s="87" t="s">
        <v>72</v>
      </c>
      <c r="N41" s="87" t="s">
        <v>73</v>
      </c>
      <c r="O41" s="87" t="s">
        <v>74</v>
      </c>
      <c r="P41" s="87" t="s">
        <v>75</v>
      </c>
      <c r="Q41" s="87" t="s">
        <v>76</v>
      </c>
      <c r="R41" s="87" t="s">
        <v>77</v>
      </c>
      <c r="S41" s="87" t="s">
        <v>78</v>
      </c>
      <c r="T41" s="87" t="s">
        <v>79</v>
      </c>
      <c r="U41" s="87" t="s">
        <v>80</v>
      </c>
      <c r="V41" s="87" t="s">
        <v>81</v>
      </c>
      <c r="W41" s="87" t="s">
        <v>82</v>
      </c>
      <c r="X41" s="87" t="s">
        <v>83</v>
      </c>
      <c r="Y41" s="87" t="s">
        <v>84</v>
      </c>
      <c r="Z41" s="87" t="s">
        <v>85</v>
      </c>
      <c r="AA41" s="87" t="s">
        <v>13</v>
      </c>
      <c r="AB41" s="87" t="s">
        <v>86</v>
      </c>
      <c r="AC41" s="87" t="s">
        <v>87</v>
      </c>
      <c r="AD41" s="87" t="s">
        <v>88</v>
      </c>
      <c r="AE41" s="87" t="s">
        <v>89</v>
      </c>
    </row>
    <row r="42" spans="1:39" customFormat="1" x14ac:dyDescent="0.25">
      <c r="A42" s="83" t="s">
        <v>16</v>
      </c>
      <c r="B42" s="83"/>
      <c r="C42" s="94">
        <v>0.01</v>
      </c>
      <c r="D42" s="94">
        <v>0.05</v>
      </c>
      <c r="E42" s="94">
        <v>0.01</v>
      </c>
      <c r="F42" s="94">
        <v>0.01</v>
      </c>
      <c r="G42" s="94">
        <v>0.01</v>
      </c>
      <c r="H42" s="94">
        <v>0.05</v>
      </c>
      <c r="I42" s="94">
        <v>0.05</v>
      </c>
      <c r="J42" s="94">
        <v>0.01</v>
      </c>
      <c r="K42" s="94">
        <v>0.01</v>
      </c>
      <c r="L42" s="94">
        <v>0.01</v>
      </c>
      <c r="M42" s="94">
        <v>0.01</v>
      </c>
      <c r="N42" s="94">
        <v>0.05</v>
      </c>
      <c r="O42" s="94">
        <v>0.1</v>
      </c>
      <c r="P42" s="94">
        <v>0.05</v>
      </c>
      <c r="Q42" s="94">
        <v>0.05</v>
      </c>
      <c r="R42" s="94">
        <v>0.01</v>
      </c>
      <c r="S42" s="94">
        <v>0.01</v>
      </c>
      <c r="T42" s="94">
        <v>0.05</v>
      </c>
      <c r="U42" s="94">
        <v>0.01</v>
      </c>
      <c r="V42" s="94">
        <v>0.05</v>
      </c>
      <c r="W42" s="94">
        <v>0.05</v>
      </c>
      <c r="X42" s="94">
        <v>0.05</v>
      </c>
      <c r="Y42" s="94">
        <v>0.05</v>
      </c>
      <c r="Z42" s="94">
        <v>0.01</v>
      </c>
      <c r="AA42" s="94">
        <v>0.05</v>
      </c>
      <c r="AB42" s="94">
        <v>0.01</v>
      </c>
      <c r="AC42" s="94">
        <v>0.01</v>
      </c>
      <c r="AD42" s="94">
        <v>0.01</v>
      </c>
      <c r="AE42" s="94">
        <v>0.05</v>
      </c>
      <c r="AG42" s="2"/>
      <c r="AH42" s="2"/>
      <c r="AI42" s="2"/>
      <c r="AJ42" s="2"/>
      <c r="AK42" s="2"/>
      <c r="AL42" s="2"/>
      <c r="AM42" s="2"/>
    </row>
    <row r="43" spans="1:39" x14ac:dyDescent="0.25">
      <c r="A43" s="84" t="s">
        <v>17</v>
      </c>
      <c r="B43" s="84"/>
      <c r="C43" s="85">
        <v>20</v>
      </c>
      <c r="D43" s="94">
        <v>200</v>
      </c>
      <c r="E43" s="94">
        <v>20</v>
      </c>
      <c r="F43" s="94">
        <v>20</v>
      </c>
      <c r="G43" s="94">
        <v>20</v>
      </c>
      <c r="H43" s="94">
        <v>20</v>
      </c>
      <c r="I43" s="94">
        <v>2000</v>
      </c>
      <c r="J43" s="94">
        <v>20</v>
      </c>
      <c r="K43" s="94">
        <v>20</v>
      </c>
      <c r="L43" s="94">
        <v>20</v>
      </c>
      <c r="M43" s="94">
        <v>100</v>
      </c>
      <c r="N43" s="94">
        <v>1000</v>
      </c>
      <c r="O43" s="94">
        <v>100</v>
      </c>
      <c r="P43" s="94">
        <v>100</v>
      </c>
      <c r="Q43" s="94">
        <v>2000</v>
      </c>
      <c r="R43" s="94">
        <v>20</v>
      </c>
      <c r="S43" s="94">
        <v>20</v>
      </c>
      <c r="T43" s="94">
        <v>100</v>
      </c>
      <c r="U43" s="94">
        <v>20</v>
      </c>
      <c r="V43" s="94">
        <v>200</v>
      </c>
      <c r="W43" s="94">
        <v>200</v>
      </c>
      <c r="X43" s="94">
        <v>200</v>
      </c>
      <c r="Y43" s="94">
        <v>20</v>
      </c>
      <c r="Z43" s="94">
        <v>20</v>
      </c>
      <c r="AA43" s="94">
        <v>100</v>
      </c>
      <c r="AB43" s="94">
        <v>20</v>
      </c>
      <c r="AC43" s="94">
        <v>20</v>
      </c>
      <c r="AD43" s="94">
        <v>20</v>
      </c>
      <c r="AE43" s="94">
        <v>100</v>
      </c>
    </row>
    <row r="44" spans="1:39" ht="15.75" thickBot="1" x14ac:dyDescent="0.3">
      <c r="A44" s="84" t="s">
        <v>94</v>
      </c>
      <c r="B44" s="84"/>
      <c r="C44" s="85">
        <v>0.99999000000000005</v>
      </c>
      <c r="D44" s="94">
        <v>0.99995999999999996</v>
      </c>
      <c r="E44" s="94">
        <v>1</v>
      </c>
      <c r="F44" s="94">
        <v>1</v>
      </c>
      <c r="G44" s="94">
        <v>0.99999000000000005</v>
      </c>
      <c r="H44" s="94">
        <v>0.99990000000000001</v>
      </c>
      <c r="I44" s="94">
        <v>0.99888999999999994</v>
      </c>
      <c r="J44" s="94">
        <v>0.99999000000000005</v>
      </c>
      <c r="K44" s="94">
        <v>0.99997000000000003</v>
      </c>
      <c r="L44" s="94">
        <v>0.99994000000000005</v>
      </c>
      <c r="M44" s="94">
        <v>0.99994000000000005</v>
      </c>
      <c r="N44" s="94">
        <v>0.99995999999999996</v>
      </c>
      <c r="O44" s="94">
        <v>0.99999000000000005</v>
      </c>
      <c r="P44" s="94">
        <v>0.99999000000000005</v>
      </c>
      <c r="Q44" s="94">
        <v>0.99953000000000003</v>
      </c>
      <c r="R44" s="94">
        <v>1</v>
      </c>
      <c r="S44" s="94">
        <v>0.99999000000000005</v>
      </c>
      <c r="T44" s="94">
        <v>0.99999000000000005</v>
      </c>
      <c r="U44" s="94">
        <v>0.99995999999999996</v>
      </c>
      <c r="V44" s="94">
        <v>0.99977000000000005</v>
      </c>
      <c r="W44" s="94">
        <v>0.99812000000000001</v>
      </c>
      <c r="X44" s="94">
        <v>0.99972000000000005</v>
      </c>
      <c r="Y44" s="94">
        <v>0.99999000000000005</v>
      </c>
      <c r="Z44" s="94">
        <v>1</v>
      </c>
      <c r="AA44" s="94">
        <v>0.99939</v>
      </c>
      <c r="AB44" s="94">
        <v>0.99990999999999997</v>
      </c>
      <c r="AC44" s="94">
        <v>0.99980000000000002</v>
      </c>
      <c r="AD44" s="94">
        <v>1</v>
      </c>
      <c r="AE44" s="94">
        <v>0.99992999999999999</v>
      </c>
    </row>
    <row r="45" spans="1:39" ht="15.75" thickBot="1" x14ac:dyDescent="0.3">
      <c r="A45" s="96"/>
      <c r="B45" s="126" t="s">
        <v>130</v>
      </c>
      <c r="C45" s="127" t="s">
        <v>131</v>
      </c>
      <c r="D45" s="127" t="s">
        <v>132</v>
      </c>
      <c r="E45" s="127" t="s">
        <v>133</v>
      </c>
      <c r="F45" s="127" t="s">
        <v>134</v>
      </c>
      <c r="G45" s="127" t="s">
        <v>135</v>
      </c>
      <c r="H45" s="127" t="s">
        <v>136</v>
      </c>
      <c r="I45" s="127" t="s">
        <v>137</v>
      </c>
      <c r="J45" s="127" t="s">
        <v>138</v>
      </c>
      <c r="K45" s="127" t="s">
        <v>139</v>
      </c>
      <c r="L45" s="127" t="s">
        <v>140</v>
      </c>
      <c r="M45" s="127" t="s">
        <v>141</v>
      </c>
      <c r="N45" s="127" t="s">
        <v>142</v>
      </c>
      <c r="O45" s="127" t="s">
        <v>143</v>
      </c>
      <c r="P45" s="127" t="s">
        <v>144</v>
      </c>
      <c r="Q45" s="127" t="s">
        <v>145</v>
      </c>
      <c r="R45" s="127" t="s">
        <v>146</v>
      </c>
      <c r="S45" s="127" t="s">
        <v>147</v>
      </c>
      <c r="T45" s="127" t="s">
        <v>148</v>
      </c>
      <c r="U45" s="127" t="s">
        <v>149</v>
      </c>
      <c r="V45" s="127" t="s">
        <v>150</v>
      </c>
      <c r="W45" s="127" t="s">
        <v>151</v>
      </c>
      <c r="X45" s="127" t="s">
        <v>152</v>
      </c>
      <c r="Y45" s="127" t="s">
        <v>153</v>
      </c>
      <c r="Z45" s="128" t="s">
        <v>154</v>
      </c>
      <c r="AA45" s="129" t="s">
        <v>155</v>
      </c>
      <c r="AB45" s="129" t="s">
        <v>156</v>
      </c>
      <c r="AC45" s="129" t="s">
        <v>157</v>
      </c>
      <c r="AD45" s="129" t="s">
        <v>158</v>
      </c>
      <c r="AE45" s="129" t="s">
        <v>159</v>
      </c>
      <c r="AF45" s="129" t="s">
        <v>160</v>
      </c>
      <c r="AG45" s="142" t="s">
        <v>184</v>
      </c>
      <c r="AH45" s="127" t="s">
        <v>185</v>
      </c>
      <c r="AI45" s="127" t="s">
        <v>186</v>
      </c>
      <c r="AJ45" s="127" t="s">
        <v>187</v>
      </c>
      <c r="AK45" s="127" t="s">
        <v>188</v>
      </c>
      <c r="AL45" s="127" t="s">
        <v>189</v>
      </c>
      <c r="AM45" s="127" t="s">
        <v>190</v>
      </c>
    </row>
    <row r="46" spans="1:39" x14ac:dyDescent="0.25">
      <c r="A46" s="96"/>
      <c r="B46" s="130" t="s">
        <v>130</v>
      </c>
      <c r="C46" s="130" t="s">
        <v>131</v>
      </c>
      <c r="D46" s="130" t="s">
        <v>132</v>
      </c>
      <c r="E46" s="130" t="s">
        <v>133</v>
      </c>
      <c r="F46" s="130" t="s">
        <v>134</v>
      </c>
      <c r="G46" s="130" t="s">
        <v>135</v>
      </c>
      <c r="H46" s="130" t="s">
        <v>136</v>
      </c>
      <c r="I46" s="130" t="s">
        <v>137</v>
      </c>
      <c r="J46" s="130" t="s">
        <v>138</v>
      </c>
      <c r="K46" s="130" t="s">
        <v>139</v>
      </c>
      <c r="L46" s="130" t="s">
        <v>140</v>
      </c>
      <c r="M46" s="130" t="s">
        <v>141</v>
      </c>
      <c r="N46" s="130" t="s">
        <v>142</v>
      </c>
      <c r="O46" s="130" t="s">
        <v>143</v>
      </c>
      <c r="P46" s="130" t="s">
        <v>144</v>
      </c>
      <c r="Q46" s="130" t="s">
        <v>145</v>
      </c>
      <c r="R46" s="130" t="s">
        <v>146</v>
      </c>
      <c r="S46" s="130" t="s">
        <v>147</v>
      </c>
      <c r="T46" s="130" t="s">
        <v>148</v>
      </c>
      <c r="U46" s="130" t="s">
        <v>149</v>
      </c>
      <c r="V46" s="130" t="s">
        <v>150</v>
      </c>
      <c r="W46" s="130" t="s">
        <v>151</v>
      </c>
      <c r="X46" s="130" t="s">
        <v>152</v>
      </c>
      <c r="Y46" s="130" t="s">
        <v>153</v>
      </c>
      <c r="Z46" s="130" t="s">
        <v>154</v>
      </c>
      <c r="AA46" s="130" t="s">
        <v>155</v>
      </c>
      <c r="AB46" s="130" t="s">
        <v>156</v>
      </c>
      <c r="AC46" s="130" t="s">
        <v>157</v>
      </c>
      <c r="AD46" s="130" t="s">
        <v>158</v>
      </c>
      <c r="AE46" s="130" t="s">
        <v>159</v>
      </c>
      <c r="AF46" s="130" t="s">
        <v>160</v>
      </c>
      <c r="AG46" s="143" t="s">
        <v>184</v>
      </c>
      <c r="AH46" s="143" t="s">
        <v>185</v>
      </c>
      <c r="AI46" s="143" t="s">
        <v>186</v>
      </c>
      <c r="AJ46" s="143" t="s">
        <v>187</v>
      </c>
      <c r="AK46" s="143" t="s">
        <v>188</v>
      </c>
      <c r="AL46" s="143" t="s">
        <v>189</v>
      </c>
      <c r="AM46" s="143" t="s">
        <v>190</v>
      </c>
    </row>
    <row r="47" spans="1:39" ht="15.75" thickBot="1" x14ac:dyDescent="0.3">
      <c r="B47" s="131" t="s">
        <v>181</v>
      </c>
      <c r="C47" s="131" t="s">
        <v>181</v>
      </c>
      <c r="D47" s="131" t="s">
        <v>181</v>
      </c>
      <c r="E47" s="131" t="s">
        <v>181</v>
      </c>
      <c r="F47" s="131" t="s">
        <v>181</v>
      </c>
      <c r="G47" s="131" t="s">
        <v>181</v>
      </c>
      <c r="H47" s="131" t="s">
        <v>181</v>
      </c>
      <c r="I47" s="131" t="s">
        <v>181</v>
      </c>
      <c r="J47" s="131" t="s">
        <v>181</v>
      </c>
      <c r="K47" s="131" t="s">
        <v>181</v>
      </c>
      <c r="L47" s="131" t="s">
        <v>181</v>
      </c>
      <c r="M47" s="131" t="s">
        <v>181</v>
      </c>
      <c r="N47" s="131" t="s">
        <v>181</v>
      </c>
      <c r="O47" s="131" t="s">
        <v>181</v>
      </c>
      <c r="P47" s="131" t="s">
        <v>181</v>
      </c>
      <c r="Q47" s="131" t="s">
        <v>181</v>
      </c>
      <c r="R47" s="131" t="s">
        <v>181</v>
      </c>
      <c r="S47" s="131" t="s">
        <v>181</v>
      </c>
      <c r="T47" s="131" t="s">
        <v>181</v>
      </c>
      <c r="U47" s="131" t="s">
        <v>181</v>
      </c>
      <c r="V47" s="131" t="s">
        <v>181</v>
      </c>
      <c r="W47" s="131" t="s">
        <v>181</v>
      </c>
      <c r="X47" s="131" t="s">
        <v>181</v>
      </c>
      <c r="Y47" s="131" t="s">
        <v>181</v>
      </c>
      <c r="Z47" s="131" t="s">
        <v>181</v>
      </c>
      <c r="AA47" s="131" t="s">
        <v>181</v>
      </c>
      <c r="AB47" s="131" t="s">
        <v>181</v>
      </c>
      <c r="AC47" s="131" t="s">
        <v>181</v>
      </c>
      <c r="AD47" s="131" t="s">
        <v>181</v>
      </c>
      <c r="AE47" s="131" t="s">
        <v>181</v>
      </c>
      <c r="AF47" s="131" t="s">
        <v>181</v>
      </c>
      <c r="AG47" s="131" t="s">
        <v>181</v>
      </c>
      <c r="AH47" s="131" t="s">
        <v>181</v>
      </c>
      <c r="AI47" s="131" t="s">
        <v>181</v>
      </c>
      <c r="AJ47" s="131" t="s">
        <v>181</v>
      </c>
      <c r="AK47" s="131" t="s">
        <v>181</v>
      </c>
      <c r="AL47" s="131" t="s">
        <v>181</v>
      </c>
      <c r="AM47" s="131" t="s">
        <v>181</v>
      </c>
    </row>
    <row r="48" spans="1:39" x14ac:dyDescent="0.25">
      <c r="AG48"/>
      <c r="AH48"/>
      <c r="AI48"/>
      <c r="AJ48"/>
      <c r="AK48"/>
      <c r="AL48"/>
      <c r="AM48"/>
    </row>
    <row r="49" spans="1:39" customFormat="1" x14ac:dyDescent="0.25">
      <c r="A49" s="132" t="s">
        <v>161</v>
      </c>
      <c r="B49" s="133">
        <v>1.57266591358376</v>
      </c>
      <c r="C49" s="133">
        <v>0.73306061644171805</v>
      </c>
      <c r="D49" s="133">
        <v>1.6519107134958699</v>
      </c>
      <c r="E49" s="133">
        <v>1.9643347860565099</v>
      </c>
      <c r="F49" s="133">
        <v>10.8838853963325</v>
      </c>
      <c r="G49" s="133">
        <v>2.2005389632450201</v>
      </c>
      <c r="H49" s="133">
        <v>8.9951818426370997E-2</v>
      </c>
      <c r="I49" s="133">
        <v>1.3542277014147699</v>
      </c>
      <c r="J49" s="133">
        <v>76.065635110692199</v>
      </c>
      <c r="K49" s="133">
        <v>0.15938125749615301</v>
      </c>
      <c r="L49" s="133">
        <v>0.53254621670747304</v>
      </c>
      <c r="M49" s="133">
        <v>6.0824995985725803</v>
      </c>
      <c r="N49" s="133">
        <v>21.482910014261801</v>
      </c>
      <c r="O49" s="133">
        <v>2.29071634347466</v>
      </c>
      <c r="P49" s="133">
        <v>9.5428529554511208</v>
      </c>
      <c r="Q49" s="133">
        <v>2.2076790260664398</v>
      </c>
      <c r="R49" s="133">
        <v>0.46424445872734199</v>
      </c>
      <c r="S49" s="133">
        <v>2.5089644602844099</v>
      </c>
      <c r="T49" s="133">
        <v>0.310470542497499</v>
      </c>
      <c r="U49" s="133">
        <v>1.9974297702361401</v>
      </c>
      <c r="V49" s="133">
        <v>0.41772767017446299</v>
      </c>
      <c r="W49" s="133">
        <v>1.19872059390927</v>
      </c>
      <c r="X49" s="133">
        <v>0.15761024772589199</v>
      </c>
      <c r="Y49" s="133">
        <v>1.0020437499405099</v>
      </c>
      <c r="Z49" s="133">
        <v>0.13996901747268001</v>
      </c>
      <c r="AA49" s="133">
        <v>0.119730064826787</v>
      </c>
      <c r="AB49" s="133">
        <v>2.1462303965571E-2</v>
      </c>
      <c r="AC49" s="133">
        <v>6.7098274133731595E-2</v>
      </c>
      <c r="AD49" s="133">
        <v>0.89709917478991497</v>
      </c>
      <c r="AE49" s="133">
        <v>1.5335855505932801</v>
      </c>
      <c r="AF49" s="133">
        <v>0.84916125555671995</v>
      </c>
      <c r="AG49" s="133">
        <v>0</v>
      </c>
      <c r="AH49" s="133">
        <v>3.3862007282555E-2</v>
      </c>
      <c r="AI49" s="133">
        <v>0.44490819858628899</v>
      </c>
      <c r="AJ49" s="133">
        <v>0.111699232896666</v>
      </c>
      <c r="AK49" s="133">
        <v>8.8802758219052702</v>
      </c>
      <c r="AL49" s="133">
        <v>3.5973085852736501E-2</v>
      </c>
      <c r="AM49" s="133">
        <v>0</v>
      </c>
    </row>
    <row r="50" spans="1:39" customFormat="1" x14ac:dyDescent="0.25">
      <c r="A50" s="132" t="s">
        <v>162</v>
      </c>
      <c r="B50" s="133">
        <v>1.3935515717751299</v>
      </c>
      <c r="C50" s="133">
        <v>0.51567839556370298</v>
      </c>
      <c r="D50" s="133">
        <v>1.62292039560195</v>
      </c>
      <c r="E50" s="133">
        <v>1.5397310786238201</v>
      </c>
      <c r="F50" s="133">
        <v>10.069768751041099</v>
      </c>
      <c r="G50" s="133">
        <v>1.9250478722312301</v>
      </c>
      <c r="H50" s="133">
        <v>6.9054198772717595E-2</v>
      </c>
      <c r="I50" s="133">
        <v>0.80425475406845304</v>
      </c>
      <c r="J50" s="133">
        <v>295.65989117604602</v>
      </c>
      <c r="K50" s="133">
        <v>7.5577145862370895E-2</v>
      </c>
      <c r="L50" s="133">
        <v>0.42582926606483301</v>
      </c>
      <c r="M50" s="133">
        <v>5.5331742085173996</v>
      </c>
      <c r="N50" s="133">
        <v>19.300123765206699</v>
      </c>
      <c r="O50" s="133">
        <v>2.07842994144676</v>
      </c>
      <c r="P50" s="133">
        <v>8.5090978135896993</v>
      </c>
      <c r="Q50" s="133">
        <v>1.9413179069162501</v>
      </c>
      <c r="R50" s="133">
        <v>0.41823208793669497</v>
      </c>
      <c r="S50" s="133">
        <v>2.2578283401164301</v>
      </c>
      <c r="T50" s="133">
        <v>0.26109723423060299</v>
      </c>
      <c r="U50" s="133">
        <v>1.8296912479052301</v>
      </c>
      <c r="V50" s="133">
        <v>0.37692858098651499</v>
      </c>
      <c r="W50" s="133">
        <v>1.0914713425859</v>
      </c>
      <c r="X50" s="133">
        <v>0.145262806803928</v>
      </c>
      <c r="Y50" s="133">
        <v>0.92585700340835098</v>
      </c>
      <c r="Z50" s="133">
        <v>0.13026347654947301</v>
      </c>
      <c r="AA50" s="133">
        <v>9.3323410611930599E-2</v>
      </c>
      <c r="AB50" s="133">
        <v>1.2557435241560401E-2</v>
      </c>
      <c r="AC50" s="133">
        <v>5.18925372096153E-2</v>
      </c>
      <c r="AD50" s="133">
        <v>0.98444611086770595</v>
      </c>
      <c r="AE50" s="133">
        <v>1.3961521629429301</v>
      </c>
      <c r="AF50" s="133">
        <v>0.772016190391691</v>
      </c>
      <c r="AG50" s="133">
        <v>0</v>
      </c>
      <c r="AH50" s="133">
        <v>8.6498141993567902E-3</v>
      </c>
      <c r="AI50" s="133">
        <v>0.29640920486067002</v>
      </c>
      <c r="AJ50" s="133">
        <v>0</v>
      </c>
      <c r="AK50" s="133">
        <v>11.1070478816661</v>
      </c>
      <c r="AL50" s="133">
        <v>0</v>
      </c>
      <c r="AM50" s="133">
        <v>0</v>
      </c>
    </row>
    <row r="51" spans="1:39" customFormat="1" x14ac:dyDescent="0.25">
      <c r="A51" s="132" t="s">
        <v>163</v>
      </c>
      <c r="B51" s="133">
        <v>1.4849419312849901</v>
      </c>
      <c r="C51" s="133">
        <v>0.79218937858899696</v>
      </c>
      <c r="D51" s="133">
        <v>1.7361936338830799</v>
      </c>
      <c r="E51" s="133">
        <v>1.98543051237387</v>
      </c>
      <c r="F51" s="133">
        <v>10.371644112740499</v>
      </c>
      <c r="G51" s="133">
        <v>2.1971959994581902</v>
      </c>
      <c r="H51" s="133">
        <v>7.16869648583493E-2</v>
      </c>
      <c r="I51" s="133">
        <v>0.58730319807908904</v>
      </c>
      <c r="J51" s="133">
        <v>459.95939270034597</v>
      </c>
      <c r="K51" s="133">
        <v>4.4035912123006699E-2</v>
      </c>
      <c r="L51" s="133">
        <v>0.401811561869998</v>
      </c>
      <c r="M51" s="133">
        <v>6.0060058123163396</v>
      </c>
      <c r="N51" s="133">
        <v>20.791565129518599</v>
      </c>
      <c r="O51" s="133">
        <v>2.2078992685331</v>
      </c>
      <c r="P51" s="133">
        <v>8.9954068806662804</v>
      </c>
      <c r="Q51" s="133">
        <v>2.06377509084375</v>
      </c>
      <c r="R51" s="133">
        <v>0.43353207615799699</v>
      </c>
      <c r="S51" s="133">
        <v>2.37373218797778</v>
      </c>
      <c r="T51" s="133">
        <v>0.29998158364174399</v>
      </c>
      <c r="U51" s="133">
        <v>1.9008872853962799</v>
      </c>
      <c r="V51" s="133">
        <v>0.40045757405791799</v>
      </c>
      <c r="W51" s="133">
        <v>1.12119861359454</v>
      </c>
      <c r="X51" s="133">
        <v>0.15775888638244501</v>
      </c>
      <c r="Y51" s="133">
        <v>0.95024696839408995</v>
      </c>
      <c r="Z51" s="133">
        <v>0.13914185694269501</v>
      </c>
      <c r="AA51" s="133">
        <v>0.10723697449028401</v>
      </c>
      <c r="AB51" s="133">
        <v>1.06883702134212E-2</v>
      </c>
      <c r="AC51" s="133">
        <v>5.8974790027006702E-2</v>
      </c>
      <c r="AD51" s="133">
        <v>0.412134091408208</v>
      </c>
      <c r="AE51" s="133">
        <v>1.5557634451793101</v>
      </c>
      <c r="AF51" s="133">
        <v>0.77449619568679096</v>
      </c>
      <c r="AG51" s="133">
        <v>0</v>
      </c>
      <c r="AH51" s="133">
        <v>4.0185298029535202E-2</v>
      </c>
      <c r="AI51" s="133">
        <v>0.50493510195027702</v>
      </c>
      <c r="AJ51" s="133">
        <v>0</v>
      </c>
      <c r="AK51" s="133">
        <v>22.135184653910599</v>
      </c>
      <c r="AL51" s="133">
        <v>0</v>
      </c>
      <c r="AM51" s="133">
        <v>0</v>
      </c>
    </row>
    <row r="52" spans="1:39" customFormat="1" x14ac:dyDescent="0.25">
      <c r="A52" s="132" t="s">
        <v>164</v>
      </c>
      <c r="B52" s="133">
        <v>1.7635764321692899</v>
      </c>
      <c r="C52" s="133">
        <v>1.0751111971612199</v>
      </c>
      <c r="D52" s="133">
        <v>2.0497959061757101</v>
      </c>
      <c r="E52" s="133">
        <v>3.2538194457368301</v>
      </c>
      <c r="F52" s="133">
        <v>11.195884352899499</v>
      </c>
      <c r="G52" s="133">
        <v>2.7716771715781099</v>
      </c>
      <c r="H52" s="133">
        <v>5.3743889552254301E-2</v>
      </c>
      <c r="I52" s="133">
        <v>0.66663908126958005</v>
      </c>
      <c r="J52" s="133">
        <v>133.716923971841</v>
      </c>
      <c r="K52" s="133">
        <v>5.06366509322436E-2</v>
      </c>
      <c r="L52" s="133">
        <v>0.50948656774711099</v>
      </c>
      <c r="M52" s="133">
        <v>5.6063499760449398</v>
      </c>
      <c r="N52" s="133">
        <v>20.035517733349401</v>
      </c>
      <c r="O52" s="133">
        <v>2.2184450911648099</v>
      </c>
      <c r="P52" s="133">
        <v>9.2753231619578091</v>
      </c>
      <c r="Q52" s="133">
        <v>2.20667725530536</v>
      </c>
      <c r="R52" s="133">
        <v>0.492133839945327</v>
      </c>
      <c r="S52" s="133">
        <v>2.5188975911514402</v>
      </c>
      <c r="T52" s="133">
        <v>0.317933401362198</v>
      </c>
      <c r="U52" s="133">
        <v>2.1143658124776401</v>
      </c>
      <c r="V52" s="133">
        <v>0.43564411850624102</v>
      </c>
      <c r="W52" s="133">
        <v>1.30711043703968</v>
      </c>
      <c r="X52" s="133">
        <v>0.17532522095085601</v>
      </c>
      <c r="Y52" s="133">
        <v>1.0569129291514701</v>
      </c>
      <c r="Z52" s="133">
        <v>0.159292227001683</v>
      </c>
      <c r="AA52" s="133">
        <v>0.122587308484624</v>
      </c>
      <c r="AB52" s="133">
        <v>9.9118285039322407E-3</v>
      </c>
      <c r="AC52" s="133">
        <v>4.3322072035305102E-2</v>
      </c>
      <c r="AD52" s="133">
        <v>0.546481275907713</v>
      </c>
      <c r="AE52" s="133">
        <v>1.71261218882073</v>
      </c>
      <c r="AF52" s="133">
        <v>1.0059144234073301</v>
      </c>
      <c r="AG52" s="133">
        <v>0</v>
      </c>
      <c r="AH52" s="133">
        <v>9.5275399924627899E-2</v>
      </c>
      <c r="AI52" s="133">
        <v>0.84815962739087303</v>
      </c>
      <c r="AJ52" s="133">
        <v>0</v>
      </c>
      <c r="AK52" s="133">
        <v>2.48477422202552</v>
      </c>
      <c r="AL52" s="133">
        <v>0</v>
      </c>
      <c r="AM52" s="133">
        <v>0</v>
      </c>
    </row>
    <row r="53" spans="1:39" customFormat="1" x14ac:dyDescent="0.25">
      <c r="A53" s="132" t="s">
        <v>165</v>
      </c>
      <c r="B53" s="133">
        <v>1.6450340178562901</v>
      </c>
      <c r="C53" s="133">
        <v>0.96259151147782596</v>
      </c>
      <c r="D53" s="133">
        <v>2.0942702812907199</v>
      </c>
      <c r="E53" s="133">
        <v>2.9231592062005398</v>
      </c>
      <c r="F53" s="133">
        <v>10.951836709751801</v>
      </c>
      <c r="G53" s="133">
        <v>2.5690286983978798</v>
      </c>
      <c r="H53" s="133">
        <v>5.6654214945690298E-2</v>
      </c>
      <c r="I53" s="133">
        <v>0.60908647824970696</v>
      </c>
      <c r="J53" s="133">
        <v>489.14630728861499</v>
      </c>
      <c r="K53" s="133">
        <v>3.9843053356990898E-2</v>
      </c>
      <c r="L53" s="133">
        <v>0.50471802790116205</v>
      </c>
      <c r="M53" s="133">
        <v>5.6130719212330904</v>
      </c>
      <c r="N53" s="133">
        <v>20.243620462876301</v>
      </c>
      <c r="O53" s="133">
        <v>2.2707040400487899</v>
      </c>
      <c r="P53" s="133">
        <v>9.5172395827730494</v>
      </c>
      <c r="Q53" s="133">
        <v>2.20966318514663</v>
      </c>
      <c r="R53" s="133">
        <v>0.49397667510210402</v>
      </c>
      <c r="S53" s="133">
        <v>2.5004897092529799</v>
      </c>
      <c r="T53" s="133">
        <v>0.31795417059722098</v>
      </c>
      <c r="U53" s="133">
        <v>2.07289156853698</v>
      </c>
      <c r="V53" s="133">
        <v>0.42833515180520398</v>
      </c>
      <c r="W53" s="133">
        <v>1.21329543492916</v>
      </c>
      <c r="X53" s="133">
        <v>0.16488577221963499</v>
      </c>
      <c r="Y53" s="133">
        <v>1.0155067310438</v>
      </c>
      <c r="Z53" s="133">
        <v>0.14364913929888701</v>
      </c>
      <c r="AA53" s="133">
        <v>0.121689279766419</v>
      </c>
      <c r="AB53" s="133">
        <v>9.2349279376200306E-3</v>
      </c>
      <c r="AC53" s="133">
        <v>4.68007676128901E-2</v>
      </c>
      <c r="AD53" s="133">
        <v>0.55377707015000499</v>
      </c>
      <c r="AE53" s="133">
        <v>1.7454807117626201</v>
      </c>
      <c r="AF53" s="133">
        <v>1.0933750083651801</v>
      </c>
      <c r="AG53" s="133">
        <v>0</v>
      </c>
      <c r="AH53" s="133">
        <v>0.11532562237365999</v>
      </c>
      <c r="AI53" s="133">
        <v>0.98902000565023396</v>
      </c>
      <c r="AJ53" s="133">
        <v>0</v>
      </c>
      <c r="AK53" s="133">
        <v>2.4062056255474502</v>
      </c>
      <c r="AL53" s="133">
        <v>0</v>
      </c>
      <c r="AM53" s="133">
        <v>0</v>
      </c>
    </row>
    <row r="54" spans="1:39" customFormat="1" x14ac:dyDescent="0.25">
      <c r="A54" s="132" t="s">
        <v>166</v>
      </c>
      <c r="B54" s="133">
        <v>1.56670112670409</v>
      </c>
      <c r="C54" s="133">
        <v>0.73820577662647702</v>
      </c>
      <c r="D54" s="133">
        <v>1.95124888662072</v>
      </c>
      <c r="E54" s="133">
        <v>2.2120261223750601</v>
      </c>
      <c r="F54" s="133">
        <v>10.163117323555699</v>
      </c>
      <c r="G54" s="133">
        <v>2.4559770910308201</v>
      </c>
      <c r="H54" s="133">
        <v>8.2898657396510103E-2</v>
      </c>
      <c r="I54" s="133">
        <v>0.57035035997073802</v>
      </c>
      <c r="J54" s="133">
        <v>115.93549643764</v>
      </c>
      <c r="K54" s="133">
        <v>3.9755825720374699E-2</v>
      </c>
      <c r="L54" s="133">
        <v>0.40966869124271799</v>
      </c>
      <c r="M54" s="133">
        <v>5.20026798604792</v>
      </c>
      <c r="N54" s="133">
        <v>19.078803436758498</v>
      </c>
      <c r="O54" s="133">
        <v>2.0556760847982698</v>
      </c>
      <c r="P54" s="133">
        <v>8.6151806095572105</v>
      </c>
      <c r="Q54" s="133">
        <v>1.9619106736272001</v>
      </c>
      <c r="R54" s="133">
        <v>0.44036583039452698</v>
      </c>
      <c r="S54" s="133">
        <v>2.2902679950501099</v>
      </c>
      <c r="T54" s="133">
        <v>0.28033547404570303</v>
      </c>
      <c r="U54" s="133">
        <v>1.92013458908215</v>
      </c>
      <c r="V54" s="133">
        <v>0.39927134626232502</v>
      </c>
      <c r="W54" s="133">
        <v>1.16373550425075</v>
      </c>
      <c r="X54" s="133">
        <v>0.15919346127075301</v>
      </c>
      <c r="Y54" s="133">
        <v>0.96933553470674205</v>
      </c>
      <c r="Z54" s="133">
        <v>0.141520120151572</v>
      </c>
      <c r="AA54" s="133">
        <v>0.124411751049933</v>
      </c>
      <c r="AB54" s="133">
        <v>8.1133806479500494E-3</v>
      </c>
      <c r="AC54" s="133">
        <v>3.2362043944384598E-2</v>
      </c>
      <c r="AD54" s="133">
        <v>0.55240317346849299</v>
      </c>
      <c r="AE54" s="133">
        <v>1.5891195437008401</v>
      </c>
      <c r="AF54" s="133">
        <v>0.88259881901974602</v>
      </c>
      <c r="AG54" s="133">
        <v>0</v>
      </c>
      <c r="AH54" s="133">
        <v>6.5517026836901998E-2</v>
      </c>
      <c r="AI54" s="133">
        <v>0.67676730404098895</v>
      </c>
      <c r="AJ54" s="133">
        <v>0</v>
      </c>
      <c r="AK54" s="133">
        <v>2.64188312842629</v>
      </c>
      <c r="AL54" s="133">
        <v>0</v>
      </c>
      <c r="AM54" s="133">
        <v>0</v>
      </c>
    </row>
    <row r="55" spans="1:39" customFormat="1" x14ac:dyDescent="0.25">
      <c r="A55" s="132" t="s">
        <v>167</v>
      </c>
      <c r="B55" s="133">
        <v>1.4180657144239099</v>
      </c>
      <c r="C55" s="133">
        <v>0.59068077278570896</v>
      </c>
      <c r="D55" s="133">
        <v>1.7147991072945299</v>
      </c>
      <c r="E55" s="133">
        <v>1.67573803447545</v>
      </c>
      <c r="F55" s="133">
        <v>10.461273511188001</v>
      </c>
      <c r="G55" s="133">
        <v>2.2889085894392198</v>
      </c>
      <c r="H55" s="133">
        <v>5.7402727022178697E-2</v>
      </c>
      <c r="I55" s="133">
        <v>0.53058933024938704</v>
      </c>
      <c r="J55" s="133">
        <v>1370.0099249314301</v>
      </c>
      <c r="K55" s="133">
        <v>4.0023656235442101E-2</v>
      </c>
      <c r="L55" s="133">
        <v>0.35532341444347398</v>
      </c>
      <c r="M55" s="133">
        <v>5.4050895363564599</v>
      </c>
      <c r="N55" s="133">
        <v>19.579895383749001</v>
      </c>
      <c r="O55" s="133">
        <v>2.0394996936856198</v>
      </c>
      <c r="P55" s="133">
        <v>8.3859718948751301</v>
      </c>
      <c r="Q55" s="133">
        <v>1.9752563323318899</v>
      </c>
      <c r="R55" s="133">
        <v>0.409707074858982</v>
      </c>
      <c r="S55" s="133">
        <v>2.2858702314719199</v>
      </c>
      <c r="T55" s="133">
        <v>0.29384075314927199</v>
      </c>
      <c r="U55" s="133">
        <v>1.98060790104658</v>
      </c>
      <c r="V55" s="133">
        <v>0.40796633399104298</v>
      </c>
      <c r="W55" s="133">
        <v>1.1865778528178601</v>
      </c>
      <c r="X55" s="133">
        <v>0.16475082853247999</v>
      </c>
      <c r="Y55" s="133">
        <v>1.00721101719581</v>
      </c>
      <c r="Z55" s="133">
        <v>0.14571896326575901</v>
      </c>
      <c r="AA55" s="133">
        <v>0.105413900983939</v>
      </c>
      <c r="AB55" s="133">
        <v>8.9945113909667904E-3</v>
      </c>
      <c r="AC55" s="133">
        <v>4.7315764568774003E-2</v>
      </c>
      <c r="AD55" s="133">
        <v>0.51649559162166103</v>
      </c>
      <c r="AE55" s="133">
        <v>1.68444702657194</v>
      </c>
      <c r="AF55" s="133">
        <v>0.87600924758305299</v>
      </c>
      <c r="AG55" s="133">
        <v>0</v>
      </c>
      <c r="AH55" s="133">
        <v>0.100259031390109</v>
      </c>
      <c r="AI55" s="133">
        <v>0.87589723252306595</v>
      </c>
      <c r="AJ55" s="133">
        <v>0</v>
      </c>
      <c r="AK55" s="133">
        <v>8.0512626123165703</v>
      </c>
      <c r="AL55" s="133">
        <v>0</v>
      </c>
      <c r="AM55" s="133">
        <v>0</v>
      </c>
    </row>
    <row r="56" spans="1:39" customFormat="1" ht="14.25" customHeight="1" x14ac:dyDescent="0.25">
      <c r="A56" s="132" t="s">
        <v>168</v>
      </c>
      <c r="B56" s="133">
        <v>1.56649114448972</v>
      </c>
      <c r="C56" s="133">
        <v>0.81940927809085895</v>
      </c>
      <c r="D56" s="133">
        <v>1.74835724071729</v>
      </c>
      <c r="E56" s="133">
        <v>2.17536535535125</v>
      </c>
      <c r="F56" s="133">
        <v>11.1612776717909</v>
      </c>
      <c r="G56" s="133">
        <v>2.3635237694185598</v>
      </c>
      <c r="H56" s="133">
        <v>6.8243220814313096E-2</v>
      </c>
      <c r="I56" s="133">
        <v>0.61261718677522403</v>
      </c>
      <c r="J56" s="133">
        <v>1000.40307428732</v>
      </c>
      <c r="K56" s="133">
        <v>4.34573337454447E-2</v>
      </c>
      <c r="L56" s="133">
        <v>0.42954363655063998</v>
      </c>
      <c r="M56" s="133">
        <v>5.8523031204299203</v>
      </c>
      <c r="N56" s="133">
        <v>20.401548827314102</v>
      </c>
      <c r="O56" s="133">
        <v>2.1878487579208499</v>
      </c>
      <c r="P56" s="133">
        <v>9.0191221502665897</v>
      </c>
      <c r="Q56" s="133">
        <v>2.1502127108673599</v>
      </c>
      <c r="R56" s="133">
        <v>0.42901167127931999</v>
      </c>
      <c r="S56" s="133">
        <v>2.4590985100680398</v>
      </c>
      <c r="T56" s="133">
        <v>0.32086235855033002</v>
      </c>
      <c r="U56" s="133">
        <v>2.1131990942068</v>
      </c>
      <c r="V56" s="133">
        <v>0.43880799436953</v>
      </c>
      <c r="W56" s="133">
        <v>1.29008167269489</v>
      </c>
      <c r="X56" s="133">
        <v>0.179610904917546</v>
      </c>
      <c r="Y56" s="133">
        <v>1.08785023361614</v>
      </c>
      <c r="Z56" s="133">
        <v>0.15739099405646301</v>
      </c>
      <c r="AA56" s="133">
        <v>0.11657887608464</v>
      </c>
      <c r="AB56" s="133">
        <v>1.4166341431325301E-2</v>
      </c>
      <c r="AC56" s="133">
        <v>6.8569356037505094E-2</v>
      </c>
      <c r="AD56" s="133">
        <v>0.29520904757414501</v>
      </c>
      <c r="AE56" s="133">
        <v>1.7286811178228501</v>
      </c>
      <c r="AF56" s="133">
        <v>0.88216930585907904</v>
      </c>
      <c r="AG56" s="133">
        <v>0</v>
      </c>
      <c r="AH56" s="133">
        <v>0.120650140631514</v>
      </c>
      <c r="AI56" s="133">
        <v>1.0115666373416601</v>
      </c>
      <c r="AJ56" s="133">
        <v>0.181796334145049</v>
      </c>
      <c r="AK56" s="133">
        <v>6.34619147382897</v>
      </c>
      <c r="AL56" s="133">
        <v>0</v>
      </c>
      <c r="AM56" s="133">
        <v>0</v>
      </c>
    </row>
    <row r="57" spans="1:39" customFormat="1" x14ac:dyDescent="0.25">
      <c r="A57" s="132" t="s">
        <v>169</v>
      </c>
      <c r="B57" s="133">
        <v>1.6255117938922099</v>
      </c>
      <c r="C57" s="133">
        <v>0.92737966045584097</v>
      </c>
      <c r="D57" s="133">
        <v>1.8293474376238199</v>
      </c>
      <c r="E57" s="133">
        <v>2.4614308618631799</v>
      </c>
      <c r="F57" s="133">
        <v>11.573632596473701</v>
      </c>
      <c r="G57" s="133">
        <v>2.8317899667488402</v>
      </c>
      <c r="H57" s="133">
        <v>7.5987070722807998E-2</v>
      </c>
      <c r="I57" s="133">
        <v>0.60777788540625499</v>
      </c>
      <c r="J57" s="133">
        <v>1706.3092417564701</v>
      </c>
      <c r="K57" s="133">
        <v>6.5000216716881096E-2</v>
      </c>
      <c r="L57" s="133">
        <v>0.44762666897905101</v>
      </c>
      <c r="M57" s="133">
        <v>5.9233099388787904</v>
      </c>
      <c r="N57" s="133">
        <v>20.6284567741728</v>
      </c>
      <c r="O57" s="133">
        <v>2.2086281430242201</v>
      </c>
      <c r="P57" s="133">
        <v>9.0955163945316304</v>
      </c>
      <c r="Q57" s="133">
        <v>2.1203195581209</v>
      </c>
      <c r="R57" s="133">
        <v>0.44647438210548301</v>
      </c>
      <c r="S57" s="133">
        <v>2.4939959665647198</v>
      </c>
      <c r="T57" s="133">
        <v>0.32401440197669001</v>
      </c>
      <c r="U57" s="133">
        <v>2.1621483403336001</v>
      </c>
      <c r="V57" s="133">
        <v>0.45886384469528602</v>
      </c>
      <c r="W57" s="133">
        <v>1.29209065772363</v>
      </c>
      <c r="X57" s="133">
        <v>0.18245644589276</v>
      </c>
      <c r="Y57" s="133">
        <v>1.16466821506371</v>
      </c>
      <c r="Z57" s="133">
        <v>0.16761063691060701</v>
      </c>
      <c r="AA57" s="133">
        <v>0.13177871494774099</v>
      </c>
      <c r="AB57" s="133">
        <v>1.19840916009075E-2</v>
      </c>
      <c r="AC57" s="133">
        <v>5.7297389653124101E-2</v>
      </c>
      <c r="AD57" s="133">
        <v>0.51945332520510701</v>
      </c>
      <c r="AE57" s="133">
        <v>1.7453258528308899</v>
      </c>
      <c r="AF57" s="133">
        <v>0.97835730211216698</v>
      </c>
      <c r="AG57" s="133">
        <v>0</v>
      </c>
      <c r="AH57" s="133">
        <v>0.134622289441649</v>
      </c>
      <c r="AI57" s="133">
        <v>1.10448692399796</v>
      </c>
      <c r="AJ57" s="133">
        <v>2.06385427894866E-2</v>
      </c>
      <c r="AK57" s="133">
        <v>9.4317853959943605</v>
      </c>
      <c r="AL57" s="133">
        <v>0</v>
      </c>
      <c r="AM57" s="133">
        <v>0</v>
      </c>
    </row>
    <row r="58" spans="1:39" customFormat="1" x14ac:dyDescent="0.25">
      <c r="A58" s="132" t="s">
        <v>170</v>
      </c>
      <c r="B58" s="133">
        <v>0.51049080449057005</v>
      </c>
      <c r="C58" s="133">
        <v>1.7014038164890699</v>
      </c>
      <c r="D58" s="133">
        <v>0.86293329602032998</v>
      </c>
      <c r="E58" s="133">
        <v>1.1640980146011399</v>
      </c>
      <c r="F58" s="133">
        <v>4.0102137782161797</v>
      </c>
      <c r="G58" s="133">
        <v>0.86900157849460602</v>
      </c>
      <c r="H58" s="133">
        <v>4.9607377258262898E-2</v>
      </c>
      <c r="I58" s="133">
        <v>2.7284273633687299E-3</v>
      </c>
      <c r="J58" s="133">
        <v>91.449517658947499</v>
      </c>
      <c r="K58" s="133">
        <v>4.1317747997187598E-2</v>
      </c>
      <c r="L58" s="133">
        <v>0.26259870451641198</v>
      </c>
      <c r="M58" s="133">
        <v>3.5842148075608402</v>
      </c>
      <c r="N58" s="133">
        <v>5.12668047597551</v>
      </c>
      <c r="O58" s="133">
        <v>1.03643262224556</v>
      </c>
      <c r="P58" s="133">
        <v>4.49857611995031</v>
      </c>
      <c r="Q58" s="133">
        <v>0.94072484046270899</v>
      </c>
      <c r="R58" s="133">
        <v>0.20080329443973799</v>
      </c>
      <c r="S58" s="133">
        <v>0.985355162856139</v>
      </c>
      <c r="T58" s="133">
        <v>7.9801803882845301E-2</v>
      </c>
      <c r="U58" s="133">
        <v>0.584135946208306</v>
      </c>
      <c r="V58" s="133">
        <v>0.116091987394811</v>
      </c>
      <c r="W58" s="133">
        <v>0.29040968154814001</v>
      </c>
      <c r="X58" s="133">
        <v>3.6809043936988098E-2</v>
      </c>
      <c r="Y58" s="133">
        <v>0.191697560507159</v>
      </c>
      <c r="Z58" s="133">
        <v>2.62312064216161E-2</v>
      </c>
      <c r="AA58" s="133">
        <v>3.82047451930339E-2</v>
      </c>
      <c r="AB58" s="133">
        <v>5.2933922002113302E-3</v>
      </c>
      <c r="AC58" s="133">
        <v>5.14355844730593E-2</v>
      </c>
      <c r="AD58" s="133">
        <v>0.31591623610284503</v>
      </c>
      <c r="AE58" s="133">
        <v>0.56331461535332705</v>
      </c>
      <c r="AF58" s="133">
        <v>0.75329228322417696</v>
      </c>
      <c r="AG58" s="133">
        <v>0</v>
      </c>
      <c r="AH58" s="133">
        <v>0</v>
      </c>
      <c r="AI58" s="133">
        <v>0</v>
      </c>
      <c r="AJ58" s="133">
        <v>0</v>
      </c>
      <c r="AK58" s="133">
        <v>9.6150361882136508</v>
      </c>
      <c r="AL58" s="133">
        <v>0</v>
      </c>
      <c r="AM58" s="133">
        <v>0</v>
      </c>
    </row>
    <row r="59" spans="1:39" customFormat="1" x14ac:dyDescent="0.25">
      <c r="A59" s="132" t="s">
        <v>171</v>
      </c>
      <c r="B59" s="133">
        <v>0.62456561434696001</v>
      </c>
      <c r="C59" s="133">
        <v>2.3980156028303998</v>
      </c>
      <c r="D59" s="133">
        <v>1.27866841956802</v>
      </c>
      <c r="E59" s="133">
        <v>2.0815342470224998</v>
      </c>
      <c r="F59" s="133">
        <v>14.6308506364441</v>
      </c>
      <c r="G59" s="133">
        <v>1.3521601950642199</v>
      </c>
      <c r="H59" s="133">
        <v>7.8334127841451301E-2</v>
      </c>
      <c r="I59" s="133" t="s">
        <v>172</v>
      </c>
      <c r="J59" s="133">
        <v>428.31028838560098</v>
      </c>
      <c r="K59" s="133">
        <v>5.20173159560441E-2</v>
      </c>
      <c r="L59" s="133">
        <v>0.37491056942115802</v>
      </c>
      <c r="M59" s="133">
        <v>12.6331931014345</v>
      </c>
      <c r="N59" s="133">
        <v>14.281697655153099</v>
      </c>
      <c r="O59" s="133">
        <v>3.5980575484642201</v>
      </c>
      <c r="P59" s="133">
        <v>16.272844022436001</v>
      </c>
      <c r="Q59" s="133">
        <v>3.4732870330755299</v>
      </c>
      <c r="R59" s="133">
        <v>0.78626434826080804</v>
      </c>
      <c r="S59" s="133">
        <v>3.9229183379452799</v>
      </c>
      <c r="T59" s="133">
        <v>0.42732966110293902</v>
      </c>
      <c r="U59" s="133">
        <v>2.31910920574227</v>
      </c>
      <c r="V59" s="133">
        <v>0.44280821754857203</v>
      </c>
      <c r="W59" s="133">
        <v>1.0301269785926099</v>
      </c>
      <c r="X59" s="133">
        <v>0.10689432865521301</v>
      </c>
      <c r="Y59" s="133">
        <v>0.49847145114413199</v>
      </c>
      <c r="Z59" s="133">
        <v>6.4465556053268105E-2</v>
      </c>
      <c r="AA59" s="133">
        <v>6.0360968490318898E-2</v>
      </c>
      <c r="AB59" s="133">
        <v>7.0620783805796098E-3</v>
      </c>
      <c r="AC59" s="133">
        <v>0.10565630006387999</v>
      </c>
      <c r="AD59" s="133">
        <v>0.24780699196196099</v>
      </c>
      <c r="AE59" s="133">
        <v>0.88076645178104096</v>
      </c>
      <c r="AF59" s="133">
        <v>1.82638452306471</v>
      </c>
      <c r="AG59" s="133">
        <v>0</v>
      </c>
      <c r="AH59" s="133">
        <v>0</v>
      </c>
      <c r="AI59" s="133">
        <v>0</v>
      </c>
      <c r="AJ59" s="133">
        <v>0</v>
      </c>
      <c r="AK59" s="133">
        <v>13.199551211354899</v>
      </c>
      <c r="AL59" s="133">
        <v>0</v>
      </c>
      <c r="AM59" s="133">
        <v>0</v>
      </c>
    </row>
    <row r="60" spans="1:39" customFormat="1" x14ac:dyDescent="0.25">
      <c r="A60" s="132" t="s">
        <v>173</v>
      </c>
      <c r="B60" s="133">
        <v>0.76233393233274005</v>
      </c>
      <c r="C60" s="133">
        <v>1.2886705619235099</v>
      </c>
      <c r="D60" s="133">
        <v>0.52624707917964797</v>
      </c>
      <c r="E60" s="133">
        <v>1.09046812227708</v>
      </c>
      <c r="F60" s="133">
        <v>3.87357541543077</v>
      </c>
      <c r="G60" s="133">
        <v>0.84995200704975005</v>
      </c>
      <c r="H60" s="133">
        <v>3.8411059807653497E-2</v>
      </c>
      <c r="I60" s="133">
        <v>1.7280239948736201E-3</v>
      </c>
      <c r="J60" s="133">
        <v>60.593542744079002</v>
      </c>
      <c r="K60" s="133">
        <v>3.8254094985024398E-2</v>
      </c>
      <c r="L60" s="133">
        <v>0.24694394725214</v>
      </c>
      <c r="M60" s="133">
        <v>3.3735005478423501</v>
      </c>
      <c r="N60" s="133">
        <v>4.4361975867527503</v>
      </c>
      <c r="O60" s="133">
        <v>0.95992979749871998</v>
      </c>
      <c r="P60" s="133">
        <v>4.2776917794758704</v>
      </c>
      <c r="Q60" s="133">
        <v>0.87202101676427402</v>
      </c>
      <c r="R60" s="133">
        <v>0.18426715092944301</v>
      </c>
      <c r="S60" s="133">
        <v>0.95912069717181003</v>
      </c>
      <c r="T60" s="133">
        <v>7.2395286909297696E-2</v>
      </c>
      <c r="U60" s="133">
        <v>0.55425376440549201</v>
      </c>
      <c r="V60" s="133">
        <v>0.11122726782834599</v>
      </c>
      <c r="W60" s="133">
        <v>0.26590591348527098</v>
      </c>
      <c r="X60" s="133">
        <v>2.8942534739267101E-2</v>
      </c>
      <c r="Y60" s="133">
        <v>0.16259827321541301</v>
      </c>
      <c r="Z60" s="133">
        <v>2.2198971285140999E-2</v>
      </c>
      <c r="AA60" s="133">
        <v>3.9442095791936298E-2</v>
      </c>
      <c r="AB60" s="133">
        <v>6.0081995497171196E-3</v>
      </c>
      <c r="AC60" s="133">
        <v>3.4156165241580001E-2</v>
      </c>
      <c r="AD60" s="133">
        <v>0.26952745531345901</v>
      </c>
      <c r="AE60" s="133">
        <v>0.585339501541428</v>
      </c>
      <c r="AF60" s="133">
        <v>0.99112706422753005</v>
      </c>
      <c r="AG60" s="133">
        <v>0</v>
      </c>
      <c r="AH60" s="133">
        <v>7.6437571433523699E-2</v>
      </c>
      <c r="AI60" s="133">
        <v>0.40678552149096098</v>
      </c>
      <c r="AJ60" s="133">
        <v>8.7128735511748601E-2</v>
      </c>
      <c r="AK60" s="133">
        <v>52.069203895107798</v>
      </c>
      <c r="AL60" s="133">
        <v>1.48798192791658</v>
      </c>
      <c r="AM60" s="133">
        <v>0</v>
      </c>
    </row>
    <row r="61" spans="1:39" customFormat="1" x14ac:dyDescent="0.25">
      <c r="A61" s="132" t="s">
        <v>174</v>
      </c>
      <c r="B61" s="133">
        <v>0.83988383766847996</v>
      </c>
      <c r="C61" s="133">
        <v>4.4586936119927403</v>
      </c>
      <c r="D61" s="133">
        <v>2.5320400713318501</v>
      </c>
      <c r="E61" s="133">
        <v>1.25602290809807</v>
      </c>
      <c r="F61" s="133">
        <v>5.8367539077492196</v>
      </c>
      <c r="G61" s="133">
        <v>1.11660793720629</v>
      </c>
      <c r="H61" s="133">
        <v>0.13370461947842799</v>
      </c>
      <c r="I61" s="133">
        <v>9.5935274932053907E-3</v>
      </c>
      <c r="J61" s="133">
        <v>667.41580261381296</v>
      </c>
      <c r="K61" s="133">
        <v>2.4510606718037599E-2</v>
      </c>
      <c r="L61" s="133">
        <v>0.33318485272409398</v>
      </c>
      <c r="M61" s="133">
        <v>5.0269864830378097</v>
      </c>
      <c r="N61" s="133">
        <v>7.40931430538539</v>
      </c>
      <c r="O61" s="133">
        <v>1.4932508100664299</v>
      </c>
      <c r="P61" s="133">
        <v>6.4503086898608801</v>
      </c>
      <c r="Q61" s="133">
        <v>1.31670262255283</v>
      </c>
      <c r="R61" s="133">
        <v>0.273803945955651</v>
      </c>
      <c r="S61" s="133">
        <v>1.4373905215721201</v>
      </c>
      <c r="T61" s="133">
        <v>0.13019858767185399</v>
      </c>
      <c r="U61" s="133">
        <v>0.85732323662772103</v>
      </c>
      <c r="V61" s="133">
        <v>0.15986892453041801</v>
      </c>
      <c r="W61" s="133">
        <v>0.42028298603546699</v>
      </c>
      <c r="X61" s="133">
        <v>5.0071148268605099E-2</v>
      </c>
      <c r="Y61" s="133">
        <v>0.26628125234804501</v>
      </c>
      <c r="Z61" s="133">
        <v>3.7016227264973701E-2</v>
      </c>
      <c r="AA61" s="133">
        <v>4.2311409125263003E-2</v>
      </c>
      <c r="AB61" s="133">
        <v>5.3697639013092803E-3</v>
      </c>
      <c r="AC61" s="133">
        <v>0.218866660329885</v>
      </c>
      <c r="AD61" s="133">
        <v>0.26150092965004701</v>
      </c>
      <c r="AE61" s="133">
        <v>0.78332795319811599</v>
      </c>
      <c r="AF61" s="133">
        <v>1.00686046290052</v>
      </c>
      <c r="AG61" s="133">
        <v>0</v>
      </c>
      <c r="AH61" s="133">
        <v>0</v>
      </c>
      <c r="AI61" s="133">
        <v>0.100597810474951</v>
      </c>
      <c r="AJ61" s="133">
        <v>0</v>
      </c>
      <c r="AK61" s="133">
        <v>32.199930041954403</v>
      </c>
      <c r="AL61" s="133">
        <v>0</v>
      </c>
      <c r="AM61" s="133">
        <v>0</v>
      </c>
    </row>
    <row r="62" spans="1:39" customFormat="1" x14ac:dyDescent="0.25">
      <c r="A62" s="132" t="s">
        <v>175</v>
      </c>
      <c r="B62" s="133">
        <v>0.69081209590238002</v>
      </c>
      <c r="C62" s="133">
        <v>5.7760729061451901</v>
      </c>
      <c r="D62" s="133">
        <v>2.03623291705776</v>
      </c>
      <c r="E62" s="133">
        <v>1.7938969790722099</v>
      </c>
      <c r="F62" s="133">
        <v>4.7152585857512399</v>
      </c>
      <c r="G62" s="133">
        <v>1.15303462345916</v>
      </c>
      <c r="H62" s="133">
        <v>0.106430923811484</v>
      </c>
      <c r="I62" s="133">
        <v>3.5840255101670701E-2</v>
      </c>
      <c r="J62" s="133">
        <v>556.05445231362398</v>
      </c>
      <c r="K62" s="133">
        <v>3.8477308693096998E-2</v>
      </c>
      <c r="L62" s="133">
        <v>0.34634581575866602</v>
      </c>
      <c r="M62" s="133">
        <v>4.3152475447582903</v>
      </c>
      <c r="N62" s="133">
        <v>6.6939417193153696</v>
      </c>
      <c r="O62" s="133">
        <v>1.26226534694169</v>
      </c>
      <c r="P62" s="133">
        <v>5.4388200136160298</v>
      </c>
      <c r="Q62" s="133">
        <v>1.0798752852671301</v>
      </c>
      <c r="R62" s="133">
        <v>0.23131476708732401</v>
      </c>
      <c r="S62" s="133">
        <v>1.2174320049774601</v>
      </c>
      <c r="T62" s="133">
        <v>0.10135564223026</v>
      </c>
      <c r="U62" s="133">
        <v>0.67179712053319596</v>
      </c>
      <c r="V62" s="133">
        <v>0.12978617667115699</v>
      </c>
      <c r="W62" s="133">
        <v>0.339022696843569</v>
      </c>
      <c r="X62" s="133">
        <v>3.85250120905355E-2</v>
      </c>
      <c r="Y62" s="133">
        <v>0.20974308414790899</v>
      </c>
      <c r="Z62" s="133">
        <v>3.1024940373604901E-2</v>
      </c>
      <c r="AA62" s="133">
        <v>4.0039013372540899E-2</v>
      </c>
      <c r="AB62" s="133">
        <v>5.0276195025380499E-3</v>
      </c>
      <c r="AC62" s="133">
        <v>0.152538767448444</v>
      </c>
      <c r="AD62" s="133">
        <v>0.24704423885652901</v>
      </c>
      <c r="AE62" s="133">
        <v>0.66799725332202198</v>
      </c>
      <c r="AF62" s="133">
        <v>0.95638882377427803</v>
      </c>
      <c r="AG62" s="133">
        <v>0</v>
      </c>
      <c r="AH62" s="133">
        <v>0</v>
      </c>
      <c r="AI62" s="133">
        <v>8.1077366833009507E-2</v>
      </c>
      <c r="AJ62" s="133">
        <v>0</v>
      </c>
      <c r="AK62" s="133">
        <v>32.190131862826</v>
      </c>
      <c r="AL62" s="133">
        <v>0</v>
      </c>
      <c r="AM62" s="133">
        <v>0</v>
      </c>
    </row>
    <row r="63" spans="1:39" customFormat="1" x14ac:dyDescent="0.25">
      <c r="A63" s="132" t="s">
        <v>176</v>
      </c>
      <c r="B63" s="133">
        <v>0.70761130808095596</v>
      </c>
      <c r="C63" s="133">
        <v>3.7585250892182298</v>
      </c>
      <c r="D63" s="133">
        <v>1.99675795768924</v>
      </c>
      <c r="E63" s="133">
        <v>1.4739062730310699</v>
      </c>
      <c r="F63" s="133">
        <v>4.87570399755763</v>
      </c>
      <c r="G63" s="133">
        <v>1.1338637034719601</v>
      </c>
      <c r="H63" s="133">
        <v>0.10234527985543899</v>
      </c>
      <c r="I63" s="133" t="s">
        <v>172</v>
      </c>
      <c r="J63" s="133">
        <v>1203.3374837592</v>
      </c>
      <c r="K63" s="133">
        <v>2.7797326491770601E-2</v>
      </c>
      <c r="L63" s="133">
        <v>0.32725045408824199</v>
      </c>
      <c r="M63" s="133">
        <v>4.4945893054550199</v>
      </c>
      <c r="N63" s="133">
        <v>7.1012568835992802</v>
      </c>
      <c r="O63" s="133">
        <v>1.3179456540815599</v>
      </c>
      <c r="P63" s="133">
        <v>5.7329797302341303</v>
      </c>
      <c r="Q63" s="133">
        <v>1.1378124343279299</v>
      </c>
      <c r="R63" s="133">
        <v>0.24387399901771301</v>
      </c>
      <c r="S63" s="133">
        <v>1.22275382175034</v>
      </c>
      <c r="T63" s="133">
        <v>0.108767436279593</v>
      </c>
      <c r="U63" s="133">
        <v>0.720247921207671</v>
      </c>
      <c r="V63" s="133">
        <v>0.14261477621483101</v>
      </c>
      <c r="W63" s="133">
        <v>0.36172564620283498</v>
      </c>
      <c r="X63" s="133">
        <v>4.3017503509900502E-2</v>
      </c>
      <c r="Y63" s="133">
        <v>0.24694182036094101</v>
      </c>
      <c r="Z63" s="133">
        <v>3.4591362218161101E-2</v>
      </c>
      <c r="AA63" s="133">
        <v>3.72334795300047E-2</v>
      </c>
      <c r="AB63" s="133">
        <v>4.5433171122065998E-3</v>
      </c>
      <c r="AC63" s="133">
        <v>0.17421720752624001</v>
      </c>
      <c r="AD63" s="133">
        <v>0.316276210150649</v>
      </c>
      <c r="AE63" s="133">
        <v>0.76122838893709899</v>
      </c>
      <c r="AF63" s="133">
        <v>0.93891506346215403</v>
      </c>
      <c r="AG63" s="133">
        <v>0</v>
      </c>
      <c r="AH63" s="133">
        <v>0</v>
      </c>
      <c r="AI63" s="133">
        <v>6.1755166230099801E-2</v>
      </c>
      <c r="AJ63" s="133">
        <v>0</v>
      </c>
      <c r="AK63" s="133">
        <v>25.770576878936001</v>
      </c>
      <c r="AL63" s="133">
        <v>0</v>
      </c>
      <c r="AM63" s="133">
        <v>0</v>
      </c>
    </row>
    <row r="64" spans="1:39" customFormat="1" x14ac:dyDescent="0.25">
      <c r="A64" s="132" t="s">
        <v>177</v>
      </c>
      <c r="B64" s="133">
        <v>0.90055901142338501</v>
      </c>
      <c r="C64" s="133">
        <v>3.82121075745088</v>
      </c>
      <c r="D64" s="133">
        <v>2.0937777030724001</v>
      </c>
      <c r="E64" s="133">
        <v>1.7527729060861901</v>
      </c>
      <c r="F64" s="133">
        <v>5.8618859842208799</v>
      </c>
      <c r="G64" s="133">
        <v>1.2906664585312899</v>
      </c>
      <c r="H64" s="133">
        <v>0.127850818736963</v>
      </c>
      <c r="I64" s="133">
        <v>2.5212799173053501E-3</v>
      </c>
      <c r="J64" s="133">
        <v>4635.9712474205799</v>
      </c>
      <c r="K64" s="133">
        <v>4.5696525396841103E-2</v>
      </c>
      <c r="L64" s="133">
        <v>0.379797334687212</v>
      </c>
      <c r="M64" s="133">
        <v>5.3170716520004699</v>
      </c>
      <c r="N64" s="133">
        <v>8.4712942185659106</v>
      </c>
      <c r="O64" s="133">
        <v>1.55216255350209</v>
      </c>
      <c r="P64" s="133">
        <v>6.6365280892735896</v>
      </c>
      <c r="Q64" s="133">
        <v>1.35191751433</v>
      </c>
      <c r="R64" s="133">
        <v>0.30437748853672703</v>
      </c>
      <c r="S64" s="133">
        <v>1.4221656324580201</v>
      </c>
      <c r="T64" s="133">
        <v>0.13480441893522899</v>
      </c>
      <c r="U64" s="133">
        <v>0.86613271284219095</v>
      </c>
      <c r="V64" s="133">
        <v>0.171252069505032</v>
      </c>
      <c r="W64" s="133">
        <v>0.44770839015781499</v>
      </c>
      <c r="X64" s="133">
        <v>5.1283517442690697E-2</v>
      </c>
      <c r="Y64" s="133">
        <v>0.29334297965151801</v>
      </c>
      <c r="Z64" s="133">
        <v>4.02327301763995E-2</v>
      </c>
      <c r="AA64" s="133">
        <v>4.8316000673793498E-2</v>
      </c>
      <c r="AB64" s="133">
        <v>5.2702649456550102E-3</v>
      </c>
      <c r="AC64" s="133">
        <v>0.24482437705773599</v>
      </c>
      <c r="AD64" s="133">
        <v>0.16608211470912099</v>
      </c>
      <c r="AE64" s="133">
        <v>0.81441662277175697</v>
      </c>
      <c r="AF64" s="133">
        <v>1.0615087400287</v>
      </c>
      <c r="AG64" s="133">
        <v>0</v>
      </c>
      <c r="AH64" s="133">
        <v>0</v>
      </c>
      <c r="AI64" s="133">
        <v>9.5270154122853501E-2</v>
      </c>
      <c r="AJ64" s="133">
        <v>0</v>
      </c>
      <c r="AK64" s="133">
        <v>25.835524853315398</v>
      </c>
      <c r="AL64" s="133">
        <v>0</v>
      </c>
      <c r="AM64" s="133">
        <v>0</v>
      </c>
    </row>
    <row r="65" spans="1:39" customFormat="1" x14ac:dyDescent="0.25">
      <c r="A65" s="132" t="s">
        <v>178</v>
      </c>
      <c r="B65" s="133">
        <v>0.72702787812491898</v>
      </c>
      <c r="C65" s="133">
        <v>3.1027698406523001</v>
      </c>
      <c r="D65" s="133">
        <v>1.38974271273685</v>
      </c>
      <c r="E65" s="133">
        <v>1.35351534685176</v>
      </c>
      <c r="F65" s="133">
        <v>5.2958715201048303</v>
      </c>
      <c r="G65" s="133">
        <v>1.14020309643652</v>
      </c>
      <c r="H65" s="133">
        <v>0.10391388621955</v>
      </c>
      <c r="I65" s="133">
        <v>7.7286027853945893E-2</v>
      </c>
      <c r="J65" s="133">
        <v>650.55812082303703</v>
      </c>
      <c r="K65" s="133">
        <v>6.7350589331116095E-2</v>
      </c>
      <c r="L65" s="133">
        <v>0.34078130358041098</v>
      </c>
      <c r="M65" s="133">
        <v>4.7167432917454697</v>
      </c>
      <c r="N65" s="133">
        <v>7.3739064587454397</v>
      </c>
      <c r="O65" s="133">
        <v>1.3922703588594401</v>
      </c>
      <c r="P65" s="133">
        <v>6.0082931761609304</v>
      </c>
      <c r="Q65" s="133">
        <v>1.1987713903703801</v>
      </c>
      <c r="R65" s="133">
        <v>0.26105972989383103</v>
      </c>
      <c r="S65" s="133">
        <v>1.27586059361953</v>
      </c>
      <c r="T65" s="133">
        <v>0.115417243195444</v>
      </c>
      <c r="U65" s="133">
        <v>0.75434895080709896</v>
      </c>
      <c r="V65" s="133">
        <v>0.15064061437499199</v>
      </c>
      <c r="W65" s="133">
        <v>0.39040834582297601</v>
      </c>
      <c r="X65" s="133">
        <v>4.5010995554943298E-2</v>
      </c>
      <c r="Y65" s="133">
        <v>0.25412859342083599</v>
      </c>
      <c r="Z65" s="133">
        <v>3.9248154256804099E-2</v>
      </c>
      <c r="AA65" s="133">
        <v>4.8475518015518901E-2</v>
      </c>
      <c r="AB65" s="133">
        <v>1.09869079139945E-2</v>
      </c>
      <c r="AC65" s="133">
        <v>0.14513505548904801</v>
      </c>
      <c r="AD65" s="133">
        <v>0.11227235025913899</v>
      </c>
      <c r="AE65" s="133">
        <v>0.757821176725754</v>
      </c>
      <c r="AF65" s="133">
        <v>0.96993029071557801</v>
      </c>
      <c r="AG65" s="133">
        <v>0</v>
      </c>
      <c r="AH65" s="133">
        <v>0</v>
      </c>
      <c r="AI65" s="133">
        <v>0.15196795136546801</v>
      </c>
      <c r="AJ65" s="133">
        <v>0</v>
      </c>
      <c r="AK65" s="133">
        <v>19.9592097229561</v>
      </c>
      <c r="AL65" s="133">
        <v>6.85426409943969E-2</v>
      </c>
      <c r="AM65" s="133">
        <v>0</v>
      </c>
    </row>
    <row r="66" spans="1:39" customFormat="1" x14ac:dyDescent="0.25">
      <c r="A66" s="132" t="s">
        <v>179</v>
      </c>
      <c r="B66" s="133">
        <v>0.68797967577799501</v>
      </c>
      <c r="C66" s="133">
        <v>2.6210082019485998</v>
      </c>
      <c r="D66" s="133">
        <v>1.0024306467520001</v>
      </c>
      <c r="E66" s="133">
        <v>1.1221298819632399</v>
      </c>
      <c r="F66" s="133">
        <v>5.19331559968525</v>
      </c>
      <c r="G66" s="133">
        <v>0.97928931904192695</v>
      </c>
      <c r="H66" s="133">
        <v>7.1169351476277801E-2</v>
      </c>
      <c r="I66" s="133">
        <v>3.5143272385046997E-2</v>
      </c>
      <c r="J66" s="133">
        <v>2287.4995647891001</v>
      </c>
      <c r="K66" s="133">
        <v>5.9751008750306298E-2</v>
      </c>
      <c r="L66" s="133">
        <v>0.29489297952294602</v>
      </c>
      <c r="M66" s="133">
        <v>4.4152206000891603</v>
      </c>
      <c r="N66" s="133">
        <v>6.8319483256034204</v>
      </c>
      <c r="O66" s="133">
        <v>1.35115885361373</v>
      </c>
      <c r="P66" s="133">
        <v>5.8752230390103701</v>
      </c>
      <c r="Q66" s="133">
        <v>1.1875800032356201</v>
      </c>
      <c r="R66" s="133">
        <v>0.24589330505168699</v>
      </c>
      <c r="S66" s="133">
        <v>1.32568947907468</v>
      </c>
      <c r="T66" s="133">
        <v>0.11560747201461601</v>
      </c>
      <c r="U66" s="133">
        <v>0.77012244659771001</v>
      </c>
      <c r="V66" s="133">
        <v>0.14343716390313499</v>
      </c>
      <c r="W66" s="133">
        <v>0.38567854366658699</v>
      </c>
      <c r="X66" s="133">
        <v>4.1910586839902397E-2</v>
      </c>
      <c r="Y66" s="133">
        <v>0.258903221665086</v>
      </c>
      <c r="Z66" s="133">
        <v>3.2656427668170299E-2</v>
      </c>
      <c r="AA66" s="133">
        <v>4.5163793280252197E-2</v>
      </c>
      <c r="AB66" s="133">
        <v>8.0149341228094393E-3</v>
      </c>
      <c r="AC66" s="133">
        <v>0.101022884010479</v>
      </c>
      <c r="AD66" s="133">
        <v>0.13404570497632701</v>
      </c>
      <c r="AE66" s="133">
        <v>0.72581338862464595</v>
      </c>
      <c r="AF66" s="133">
        <v>1.0563417695194901</v>
      </c>
      <c r="AG66" s="133">
        <v>0</v>
      </c>
      <c r="AH66" s="133">
        <v>0</v>
      </c>
      <c r="AI66" s="133">
        <v>1.19184628431586E-2</v>
      </c>
      <c r="AJ66" s="133">
        <v>0</v>
      </c>
      <c r="AK66" s="133">
        <v>17.5105108917619</v>
      </c>
      <c r="AL66" s="133">
        <v>0</v>
      </c>
      <c r="AM66" s="133">
        <v>0</v>
      </c>
    </row>
    <row r="67" spans="1:39" customFormat="1" x14ac:dyDescent="0.25">
      <c r="A67" s="132" t="s">
        <v>180</v>
      </c>
      <c r="B67" s="133">
        <v>2.70225366951632</v>
      </c>
      <c r="C67" s="133">
        <v>2.6258760328017701</v>
      </c>
      <c r="D67" s="133">
        <v>0.731602982746409</v>
      </c>
      <c r="E67" s="133">
        <v>13.731918245862399</v>
      </c>
      <c r="F67" s="133">
        <v>4.3258753851673797</v>
      </c>
      <c r="G67" s="133">
        <v>3.3164561537506501</v>
      </c>
      <c r="H67" s="133">
        <v>0.29233020428956702</v>
      </c>
      <c r="I67" s="133">
        <v>7.2918221984417303E-2</v>
      </c>
      <c r="J67" s="133">
        <v>14.7972872561757</v>
      </c>
      <c r="K67" s="133">
        <v>0.32651948094058802</v>
      </c>
      <c r="L67" s="133">
        <v>1.8994571261219599</v>
      </c>
      <c r="M67" s="133">
        <v>8.2569663343929491</v>
      </c>
      <c r="N67" s="133">
        <v>17.024895790831501</v>
      </c>
      <c r="O67" s="133">
        <v>1.93787358948573</v>
      </c>
      <c r="P67" s="133">
        <v>7.3232653800493903</v>
      </c>
      <c r="Q67" s="133">
        <v>1.47077202605343</v>
      </c>
      <c r="R67" s="133">
        <v>0.40636098289551498</v>
      </c>
      <c r="S67" s="133">
        <v>1.50575237020908</v>
      </c>
      <c r="T67" s="133">
        <v>0.14566702270250301</v>
      </c>
      <c r="U67" s="133">
        <v>0.916260777071503</v>
      </c>
      <c r="V67" s="133">
        <v>0.17756125675909201</v>
      </c>
      <c r="W67" s="133">
        <v>0.47403075683729001</v>
      </c>
      <c r="X67" s="133">
        <v>6.7846007449370804E-2</v>
      </c>
      <c r="Y67" s="133">
        <v>0.39109305935108302</v>
      </c>
      <c r="Z67" s="133">
        <v>5.9032485196759701E-2</v>
      </c>
      <c r="AA67" s="133">
        <v>0.153493757554716</v>
      </c>
      <c r="AB67" s="133">
        <v>5.8142630149345599E-2</v>
      </c>
      <c r="AC67" s="133">
        <v>0.144284515975518</v>
      </c>
      <c r="AD67" s="133">
        <v>0.36898843582778801</v>
      </c>
      <c r="AE67" s="133">
        <v>3.5588426594158098</v>
      </c>
      <c r="AF67" s="133">
        <v>0.77176663044695004</v>
      </c>
      <c r="AG67" s="133">
        <v>0</v>
      </c>
      <c r="AH67" s="133">
        <v>0</v>
      </c>
      <c r="AI67" s="133">
        <v>0</v>
      </c>
      <c r="AJ67" s="133">
        <v>0</v>
      </c>
      <c r="AK67" s="133">
        <v>0.101746316113262</v>
      </c>
      <c r="AL67" s="133">
        <v>0.101756220028431</v>
      </c>
      <c r="AM67" s="133">
        <v>0</v>
      </c>
    </row>
  </sheetData>
  <mergeCells count="2">
    <mergeCell ref="A16:A17"/>
    <mergeCell ref="B39:J39"/>
  </mergeCells>
  <conditionalFormatting sqref="D39">
    <cfRule type="cellIs" dxfId="0" priority="1" operator="greaterThan">
      <formula>$D$41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69CF5-28FC-4CDC-84F3-5487123B0C3D}">
  <dimension ref="A1:AO64"/>
  <sheetViews>
    <sheetView topLeftCell="AB28" workbookViewId="0">
      <selection activeCell="AH44" sqref="AH44:AN46"/>
    </sheetView>
  </sheetViews>
  <sheetFormatPr defaultRowHeight="15" x14ac:dyDescent="0.25"/>
  <cols>
    <col min="1" max="1" width="37.140625" customWidth="1"/>
    <col min="2" max="2" width="13.7109375" customWidth="1"/>
    <col min="3" max="3" width="14.7109375" style="23" bestFit="1" customWidth="1"/>
    <col min="4" max="4" width="14.85546875" style="23" bestFit="1" customWidth="1"/>
    <col min="5" max="5" width="14.7109375" style="23" bestFit="1" customWidth="1"/>
    <col min="6" max="6" width="13.7109375" style="23" bestFit="1" customWidth="1"/>
    <col min="7" max="7" width="14.28515625" style="23" bestFit="1" customWidth="1"/>
    <col min="8" max="8" width="15" style="23" bestFit="1" customWidth="1"/>
    <col min="9" max="9" width="15.140625" style="23" bestFit="1" customWidth="1"/>
    <col min="10" max="11" width="15.5703125" style="23" bestFit="1" customWidth="1"/>
    <col min="12" max="13" width="15.42578125" style="23" bestFit="1" customWidth="1"/>
    <col min="14" max="14" width="15.7109375" style="23" bestFit="1" customWidth="1"/>
    <col min="15" max="15" width="15.42578125" style="23" bestFit="1" customWidth="1"/>
    <col min="16" max="16" width="16" style="23" bestFit="1" customWidth="1"/>
    <col min="17" max="17" width="16.140625" style="23" bestFit="1" customWidth="1"/>
    <col min="18" max="18" width="15.5703125" style="23" bestFit="1" customWidth="1"/>
    <col min="19" max="19" width="15.85546875" style="23" bestFit="1" customWidth="1"/>
    <col min="20" max="20" width="15.5703125" style="23" bestFit="1" customWidth="1"/>
    <col min="21" max="21" width="15.7109375" style="23" bestFit="1" customWidth="1"/>
    <col min="22" max="22" width="15.85546875" style="23" bestFit="1" customWidth="1"/>
    <col min="23" max="23" width="15.28515625" style="23" bestFit="1" customWidth="1"/>
    <col min="24" max="24" width="16.140625" style="23" bestFit="1" customWidth="1"/>
    <col min="25" max="25" width="15.7109375" style="23" bestFit="1" customWidth="1"/>
    <col min="26" max="26" width="15.5703125" style="23" bestFit="1" customWidth="1"/>
    <col min="27" max="29" width="15.42578125" style="23" bestFit="1" customWidth="1"/>
    <col min="30" max="30" width="15.140625" style="23" bestFit="1" customWidth="1"/>
    <col min="31" max="31" width="15.5703125" style="23" bestFit="1" customWidth="1"/>
    <col min="32" max="32" width="18.85546875" bestFit="1" customWidth="1"/>
    <col min="33" max="33" width="18" bestFit="1" customWidth="1"/>
    <col min="34" max="38" width="15.7109375" bestFit="1" customWidth="1"/>
    <col min="39" max="39" width="14.85546875" bestFit="1" customWidth="1"/>
    <col min="40" max="40" width="15.42578125" bestFit="1" customWidth="1"/>
  </cols>
  <sheetData>
    <row r="1" spans="1:31" s="38" customFormat="1" ht="21.75" thickBot="1" x14ac:dyDescent="0.3">
      <c r="A1" s="37" t="str">
        <f>'Raw ICP-OES Data'!A1</f>
        <v xml:space="preserve"> Inductively Coupled Plasma-Optical Emission Spectrometer (ICP-AES) Samples Review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</row>
    <row r="2" spans="1:31" s="2" customFormat="1" ht="3.75" customHeight="1" x14ac:dyDescent="0.25">
      <c r="A2" s="1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s="2" customFormat="1" x14ac:dyDescent="0.25">
      <c r="A3" s="3" t="str">
        <f>'Raw ICP-OES Data'!A3</f>
        <v>Sequence Name: Valmont Fly Ash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</row>
    <row r="4" spans="1:31" s="2" customFormat="1" x14ac:dyDescent="0.25">
      <c r="A4" s="3" t="str">
        <f>'Raw ICP-OES Data'!A4</f>
        <v>Digested By: Trevor Henry on 8/29/2024  electronic Lab book K-LRTD-NB-2993| Analyzed By: Mahendranath Arambewela. The final volume of the digestion was 50 mL.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</row>
    <row r="5" spans="1:31" s="2" customFormat="1" x14ac:dyDescent="0.25">
      <c r="A5" s="3" t="str">
        <f>'Raw ICP-OES Data'!A5</f>
        <v>Chain of Custody:  Not Received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</row>
    <row r="6" spans="1:31" s="2" customFormat="1" x14ac:dyDescent="0.25">
      <c r="A6" s="3" t="str">
        <f>'Raw ICP-OES Data'!A6</f>
        <v>Sample Preparation: Total metal samples were acid digested per SOP K-LRTD-SOP-1193-0 (based on  EPA Method 3051)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23"/>
      <c r="AD6" s="17"/>
      <c r="AE6" s="17"/>
    </row>
    <row r="7" spans="1:31" s="2" customFormat="1" x14ac:dyDescent="0.25">
      <c r="A7" s="3" t="str">
        <f>'Raw ICP-OES Data'!A7</f>
        <v>Instrument: Inductively coupled plasma-optical emission spectrometer (ICP-OES) Agilent 5900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s="2" customFormat="1" x14ac:dyDescent="0.25">
      <c r="A8" s="3" t="str">
        <f>'Raw ICP-OES Data'!A8</f>
        <v>Electronic data found at: L:\Priv\CtrHill\CSSB Applied Research\Spring River Watershed\Data Reports with QA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31" s="2" customFormat="1" x14ac:dyDescent="0.25">
      <c r="A9" s="3" t="str">
        <f>'Raw ICP-OES Data'!A9</f>
        <v>Analytical Method: ICP analysis per SOP K-LRTD-SOP-1185-1 (based on EPA Method 6010B)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31" s="2" customFormat="1" ht="3.75" customHeight="1" x14ac:dyDescent="0.25">
      <c r="A10" s="4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31" s="2" customFormat="1" ht="12.75" customHeight="1" x14ac:dyDescent="0.25">
      <c r="A11" s="24" t="s">
        <v>97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31" s="2" customFormat="1" ht="3.75" customHeight="1" thickBot="1" x14ac:dyDescent="0.3"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31" s="2" customFormat="1" ht="15" customHeight="1" x14ac:dyDescent="0.25">
      <c r="B13" s="5" t="str">
        <f>'Raw ICP-OES Data'!B13</f>
        <v>MDL (mg/L)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57"/>
    </row>
    <row r="14" spans="1:31" s="2" customFormat="1" hidden="1" x14ac:dyDescent="0.25">
      <c r="B14" s="7" t="str">
        <f>'Raw ICP-OES Data'!B14</f>
        <v>MRL (mg/L)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58"/>
    </row>
    <row r="15" spans="1:31" s="2" customFormat="1" ht="15" customHeight="1" x14ac:dyDescent="0.25">
      <c r="B15" s="7" t="str">
        <f>B14</f>
        <v>MRL (mg/L)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58"/>
    </row>
    <row r="16" spans="1:31" s="2" customFormat="1" ht="15" customHeight="1" x14ac:dyDescent="0.25">
      <c r="B16" s="44" t="s">
        <v>18</v>
      </c>
      <c r="C16" s="98"/>
      <c r="D16" s="99"/>
      <c r="E16" s="98"/>
      <c r="F16" s="99"/>
      <c r="G16" s="98"/>
      <c r="H16" s="100"/>
      <c r="I16" s="101"/>
      <c r="J16" s="100"/>
      <c r="K16" s="98"/>
      <c r="L16" s="99"/>
      <c r="M16" s="98"/>
      <c r="N16" s="99"/>
      <c r="O16" s="100"/>
      <c r="P16" s="99"/>
      <c r="Q16" s="100"/>
      <c r="R16" s="98"/>
      <c r="S16" s="98"/>
      <c r="T16" s="100"/>
      <c r="U16" s="98"/>
      <c r="V16" s="98"/>
      <c r="W16" s="99"/>
      <c r="X16" s="99"/>
      <c r="Y16" s="98"/>
      <c r="Z16" s="98"/>
      <c r="AA16" s="100"/>
      <c r="AB16" s="98"/>
      <c r="AC16" s="98"/>
      <c r="AD16" s="98"/>
      <c r="AE16" s="102"/>
    </row>
    <row r="17" spans="1:40" s="2" customFormat="1" ht="15" customHeight="1" thickBot="1" x14ac:dyDescent="0.3">
      <c r="B17" s="9" t="s">
        <v>19</v>
      </c>
      <c r="C17" s="10"/>
      <c r="D17" s="10"/>
      <c r="E17" s="10"/>
      <c r="F17" s="10"/>
      <c r="G17" s="10"/>
      <c r="H17" s="10"/>
      <c r="I17" s="10"/>
      <c r="J17" s="10"/>
      <c r="K17" s="10"/>
      <c r="L17" s="49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59"/>
    </row>
    <row r="18" spans="1:40" s="2" customFormat="1" ht="11.25" customHeight="1" x14ac:dyDescent="0.25">
      <c r="B18" s="21" t="s">
        <v>20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40" s="2" customFormat="1" ht="3.75" customHeight="1" x14ac:dyDescent="0.25"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40" s="33" customFormat="1" ht="11.25" customHeight="1" x14ac:dyDescent="0.25">
      <c r="A20" s="146" t="s">
        <v>10</v>
      </c>
      <c r="B20" s="148" t="s">
        <v>21</v>
      </c>
      <c r="C20" s="135" t="str">
        <f>'RAW ICP-MS Data'!B16</f>
        <v xml:space="preserve">45  Sc  [ No Gas ] </v>
      </c>
      <c r="D20" s="135" t="str">
        <f>'RAW ICP-MS Data'!C16</f>
        <v xml:space="preserve">71  Ga  [ No Gas ] </v>
      </c>
      <c r="E20" s="135" t="str">
        <f>'RAW ICP-MS Data'!D16</f>
        <v xml:space="preserve">72  Ge  [ No Gas ] </v>
      </c>
      <c r="F20" s="135" t="str">
        <f>'RAW ICP-MS Data'!E16</f>
        <v xml:space="preserve">85  Rb  [ No Gas ] </v>
      </c>
      <c r="G20" s="135" t="str">
        <f>'RAW ICP-MS Data'!F16</f>
        <v xml:space="preserve">89  Y  [ No Gas ] </v>
      </c>
      <c r="H20" s="135" t="str">
        <f>'RAW ICP-MS Data'!G16</f>
        <v xml:space="preserve">90  Zr  [ No Gas ] </v>
      </c>
      <c r="I20" s="135" t="str">
        <f>'RAW ICP-MS Data'!H16</f>
        <v xml:space="preserve">93  Nb  [ No Gas ] </v>
      </c>
      <c r="J20" s="135" t="str">
        <f>'RAW ICP-MS Data'!I16</f>
        <v xml:space="preserve">115  In  [ No Gas ] </v>
      </c>
      <c r="K20" s="135" t="str">
        <f>'RAW ICP-MS Data'!J16</f>
        <v xml:space="preserve">118  Sn  [ No Gas ] </v>
      </c>
      <c r="L20" s="135" t="str">
        <f>'RAW ICP-MS Data'!K16</f>
        <v xml:space="preserve">125  Te  [ No Gas ] </v>
      </c>
      <c r="M20" s="135" t="str">
        <f>'RAW ICP-MS Data'!L16</f>
        <v xml:space="preserve">133  Cs  [ No Gas ] </v>
      </c>
      <c r="N20" s="135" t="str">
        <f>'RAW ICP-MS Data'!M16</f>
        <v xml:space="preserve">139  La  [ No Gas ] </v>
      </c>
      <c r="O20" s="135" t="str">
        <f>'RAW ICP-MS Data'!N16</f>
        <v xml:space="preserve">140  Ce  [ No Gas ] </v>
      </c>
      <c r="P20" s="135" t="str">
        <f>'RAW ICP-MS Data'!O16</f>
        <v xml:space="preserve">141  Pr  [ No Gas ] </v>
      </c>
      <c r="Q20" s="135" t="str">
        <f>'RAW ICP-MS Data'!P16</f>
        <v xml:space="preserve">146  Nd  [ No Gas ] </v>
      </c>
      <c r="R20" s="135" t="str">
        <f>'RAW ICP-MS Data'!Q16</f>
        <v xml:space="preserve">147  Sm  [ No Gas ] </v>
      </c>
      <c r="S20" s="135" t="str">
        <f>'RAW ICP-MS Data'!R16</f>
        <v xml:space="preserve">153  Eu  [ No Gas ] </v>
      </c>
      <c r="T20" s="135" t="str">
        <f>'RAW ICP-MS Data'!S16</f>
        <v xml:space="preserve">157  Gd  [ No Gas ] </v>
      </c>
      <c r="U20" s="135" t="str">
        <f>'RAW ICP-MS Data'!T16</f>
        <v xml:space="preserve">159  Tb  [ No Gas ] </v>
      </c>
      <c r="V20" s="135" t="str">
        <f>'RAW ICP-MS Data'!U16</f>
        <v xml:space="preserve">163  Dy  [ No Gas ] </v>
      </c>
      <c r="W20" s="135" t="str">
        <f>'RAW ICP-MS Data'!V16</f>
        <v xml:space="preserve">165  Ho  [ No Gas ] </v>
      </c>
      <c r="X20" s="135" t="str">
        <f>'RAW ICP-MS Data'!W16</f>
        <v xml:space="preserve">166  Er  [ No Gas ] </v>
      </c>
      <c r="Y20" s="135" t="str">
        <f>'RAW ICP-MS Data'!X16</f>
        <v xml:space="preserve">169  Tm  [ No Gas ] </v>
      </c>
      <c r="Z20" s="135" t="str">
        <f>'RAW ICP-MS Data'!Y16</f>
        <v xml:space="preserve">172  Yb  [ No Gas ] </v>
      </c>
      <c r="AA20" s="135" t="str">
        <f>'RAW ICP-MS Data'!Z16</f>
        <v xml:space="preserve">175  Lu  [ No Gas ] </v>
      </c>
      <c r="AB20" s="135" t="str">
        <f>'RAW ICP-MS Data'!AA16</f>
        <v xml:space="preserve">178  Hf  [ No Gas ] </v>
      </c>
      <c r="AC20" s="135" t="str">
        <f>'RAW ICP-MS Data'!AB16</f>
        <v xml:space="preserve">181  Ta  [ No Gas ] </v>
      </c>
      <c r="AD20" s="135" t="str">
        <f>'RAW ICP-MS Data'!AC16</f>
        <v xml:space="preserve">182  W  [ No Gas ] </v>
      </c>
      <c r="AE20" s="135" t="str">
        <f>'RAW ICP-MS Data'!AD16</f>
        <v xml:space="preserve">209  Bi  [ No Gas ] </v>
      </c>
      <c r="AF20" s="135" t="str">
        <f>'RAW ICP-MS Data'!AE16</f>
        <v xml:space="preserve">232  Th  [ No Gas ] </v>
      </c>
      <c r="AG20" s="135" t="str">
        <f>'RAW ICP-MS Data'!AF16</f>
        <v xml:space="preserve">238  U  [ No Gas ] </v>
      </c>
      <c r="AH20" s="135" t="str">
        <f>'RAW ICP-MS Data'!AG16</f>
        <v xml:space="preserve">101  Ru  [ No Gas ] </v>
      </c>
      <c r="AI20" s="135" t="str">
        <f>'RAW ICP-MS Data'!AH16</f>
        <v xml:space="preserve">103  Rh  [ No Gas ] </v>
      </c>
      <c r="AJ20" s="135" t="str">
        <f>'RAW ICP-MS Data'!AI16</f>
        <v xml:space="preserve">104  Pd  [ No Gas ] </v>
      </c>
      <c r="AK20" s="135" t="str">
        <f>'RAW ICP-MS Data'!AJ16</f>
        <v xml:space="preserve">105  Pd  [ No Gas ] </v>
      </c>
      <c r="AL20" s="135" t="str">
        <f>'RAW ICP-MS Data'!AK16</f>
        <v xml:space="preserve">110  Pd  [ No Gas ] </v>
      </c>
      <c r="AM20" s="135" t="str">
        <f>'RAW ICP-MS Data'!AL16</f>
        <v xml:space="preserve">193  Ir  [ No Gas ] </v>
      </c>
      <c r="AN20" s="135" t="str">
        <f>'RAW ICP-MS Data'!AM16</f>
        <v xml:space="preserve">195  Pt  [ No Gas ] </v>
      </c>
    </row>
    <row r="21" spans="1:40" s="42" customFormat="1" ht="11.25" customHeight="1" x14ac:dyDescent="0.25">
      <c r="A21" s="146"/>
      <c r="B21" s="148"/>
      <c r="C21" s="135" t="str">
        <f>'RAW ICP-MS Data'!B17</f>
        <v xml:space="preserve">45  Sc  [ No Gas ] </v>
      </c>
      <c r="D21" s="135" t="str">
        <f>'RAW ICP-MS Data'!C17</f>
        <v xml:space="preserve">71  Ga  [ No Gas ] </v>
      </c>
      <c r="E21" s="135" t="str">
        <f>'RAW ICP-MS Data'!D17</f>
        <v xml:space="preserve">72  Ge  [ No Gas ] </v>
      </c>
      <c r="F21" s="135" t="str">
        <f>'RAW ICP-MS Data'!E17</f>
        <v xml:space="preserve">85  Rb  [ No Gas ] </v>
      </c>
      <c r="G21" s="135" t="str">
        <f>'RAW ICP-MS Data'!F17</f>
        <v xml:space="preserve">89  Y  [ No Gas ] </v>
      </c>
      <c r="H21" s="135" t="str">
        <f>'RAW ICP-MS Data'!G17</f>
        <v xml:space="preserve">90  Zr  [ No Gas ] </v>
      </c>
      <c r="I21" s="135" t="str">
        <f>'RAW ICP-MS Data'!H17</f>
        <v xml:space="preserve">93  Nb  [ No Gas ] </v>
      </c>
      <c r="J21" s="135" t="str">
        <f>'RAW ICP-MS Data'!I17</f>
        <v xml:space="preserve">115  In  [ No Gas ] </v>
      </c>
      <c r="K21" s="135" t="str">
        <f>'RAW ICP-MS Data'!J17</f>
        <v xml:space="preserve">118  Sn  [ No Gas ] </v>
      </c>
      <c r="L21" s="135" t="str">
        <f>'RAW ICP-MS Data'!K17</f>
        <v xml:space="preserve">125  Te  [ No Gas ] </v>
      </c>
      <c r="M21" s="135" t="str">
        <f>'RAW ICP-MS Data'!L17</f>
        <v xml:space="preserve">133  Cs  [ No Gas ] </v>
      </c>
      <c r="N21" s="135" t="str">
        <f>'RAW ICP-MS Data'!M17</f>
        <v xml:space="preserve">139  La  [ No Gas ] </v>
      </c>
      <c r="O21" s="135" t="str">
        <f>'RAW ICP-MS Data'!N17</f>
        <v xml:space="preserve">140  Ce  [ No Gas ] </v>
      </c>
      <c r="P21" s="135" t="str">
        <f>'RAW ICP-MS Data'!O17</f>
        <v xml:space="preserve">141  Pr  [ No Gas ] </v>
      </c>
      <c r="Q21" s="135" t="str">
        <f>'RAW ICP-MS Data'!P17</f>
        <v xml:space="preserve">146  Nd  [ No Gas ] </v>
      </c>
      <c r="R21" s="135" t="str">
        <f>'RAW ICP-MS Data'!Q17</f>
        <v xml:space="preserve">147  Sm  [ No Gas ] </v>
      </c>
      <c r="S21" s="135" t="str">
        <f>'RAW ICP-MS Data'!R17</f>
        <v xml:space="preserve">153  Eu  [ No Gas ] </v>
      </c>
      <c r="T21" s="135" t="str">
        <f>'RAW ICP-MS Data'!S17</f>
        <v xml:space="preserve">157  Gd  [ No Gas ] </v>
      </c>
      <c r="U21" s="135" t="str">
        <f>'RAW ICP-MS Data'!T17</f>
        <v xml:space="preserve">159  Tb  [ No Gas ] </v>
      </c>
      <c r="V21" s="135" t="str">
        <f>'RAW ICP-MS Data'!U17</f>
        <v xml:space="preserve">163  Dy  [ No Gas ] </v>
      </c>
      <c r="W21" s="135" t="str">
        <f>'RAW ICP-MS Data'!V17</f>
        <v xml:space="preserve">165  Ho  [ No Gas ] </v>
      </c>
      <c r="X21" s="135" t="str">
        <f>'RAW ICP-MS Data'!W17</f>
        <v xml:space="preserve">166  Er  [ No Gas ] </v>
      </c>
      <c r="Y21" s="135" t="str">
        <f>'RAW ICP-MS Data'!X17</f>
        <v xml:space="preserve">169  Tm  [ No Gas ] </v>
      </c>
      <c r="Z21" s="135" t="str">
        <f>'RAW ICP-MS Data'!Y17</f>
        <v xml:space="preserve">172  Yb  [ No Gas ] </v>
      </c>
      <c r="AA21" s="135" t="str">
        <f>'RAW ICP-MS Data'!Z17</f>
        <v xml:space="preserve">175  Lu  [ No Gas ] </v>
      </c>
      <c r="AB21" s="135" t="str">
        <f>'RAW ICP-MS Data'!AA17</f>
        <v xml:space="preserve">178  Hf  [ No Gas ] </v>
      </c>
      <c r="AC21" s="135" t="str">
        <f>'RAW ICP-MS Data'!AB17</f>
        <v xml:space="preserve">181  Ta  [ No Gas ] </v>
      </c>
      <c r="AD21" s="135" t="str">
        <f>'RAW ICP-MS Data'!AC17</f>
        <v xml:space="preserve">182  W  [ No Gas ] </v>
      </c>
      <c r="AE21" s="135" t="str">
        <f>'RAW ICP-MS Data'!AD17</f>
        <v xml:space="preserve">209  Bi  [ No Gas ] </v>
      </c>
      <c r="AF21" s="135" t="str">
        <f>'RAW ICP-MS Data'!AE17</f>
        <v xml:space="preserve">232  Th  [ No Gas ] </v>
      </c>
      <c r="AG21" s="135" t="str">
        <f>'RAW ICP-MS Data'!AF17</f>
        <v xml:space="preserve">238  U  [ No Gas ] </v>
      </c>
      <c r="AH21" s="135" t="str">
        <f>'RAW ICP-MS Data'!AG17</f>
        <v xml:space="preserve">101  Ru  [ No Gas ] </v>
      </c>
      <c r="AI21" s="135" t="str">
        <f>'RAW ICP-MS Data'!AH17</f>
        <v xml:space="preserve">103  Rh  [ No Gas ] </v>
      </c>
      <c r="AJ21" s="135" t="str">
        <f>'RAW ICP-MS Data'!AI17</f>
        <v xml:space="preserve">104  Pd  [ No Gas ] </v>
      </c>
      <c r="AK21" s="135" t="str">
        <f>'RAW ICP-MS Data'!AJ17</f>
        <v xml:space="preserve">105  Pd  [ No Gas ] </v>
      </c>
      <c r="AL21" s="135" t="str">
        <f>'RAW ICP-MS Data'!AK17</f>
        <v xml:space="preserve">110  Pd  [ No Gas ] </v>
      </c>
      <c r="AM21" s="135" t="str">
        <f>'RAW ICP-MS Data'!AL17</f>
        <v xml:space="preserve">193  Ir  [ No Gas ] </v>
      </c>
      <c r="AN21" s="135" t="str">
        <f>'RAW ICP-MS Data'!AM17</f>
        <v xml:space="preserve">195  Pt  [ No Gas ] </v>
      </c>
    </row>
    <row r="22" spans="1:40" s="19" customFormat="1" x14ac:dyDescent="0.25">
      <c r="A22" s="18"/>
      <c r="B22" s="18"/>
      <c r="C22" s="135" t="str">
        <f>'RAW ICP-MS Data'!B18</f>
        <v>ug/kg</v>
      </c>
      <c r="D22" s="135" t="str">
        <f>'RAW ICP-MS Data'!C18</f>
        <v>ug/kg</v>
      </c>
      <c r="E22" s="135" t="str">
        <f>'RAW ICP-MS Data'!D18</f>
        <v>ug/kg</v>
      </c>
      <c r="F22" s="135" t="str">
        <f>'RAW ICP-MS Data'!E18</f>
        <v>ug/kg</v>
      </c>
      <c r="G22" s="135" t="str">
        <f>'RAW ICP-MS Data'!F18</f>
        <v>ug/kg</v>
      </c>
      <c r="H22" s="135" t="str">
        <f>'RAW ICP-MS Data'!G18</f>
        <v>ug/kg</v>
      </c>
      <c r="I22" s="135" t="str">
        <f>'RAW ICP-MS Data'!H18</f>
        <v>ug/kg</v>
      </c>
      <c r="J22" s="135" t="str">
        <f>'RAW ICP-MS Data'!I18</f>
        <v>ug/kg</v>
      </c>
      <c r="K22" s="135" t="str">
        <f>'RAW ICP-MS Data'!J18</f>
        <v>ug/kg</v>
      </c>
      <c r="L22" s="135" t="str">
        <f>'RAW ICP-MS Data'!K18</f>
        <v>ug/kg</v>
      </c>
      <c r="M22" s="135" t="str">
        <f>'RAW ICP-MS Data'!L18</f>
        <v>ug/kg</v>
      </c>
      <c r="N22" s="135" t="str">
        <f>'RAW ICP-MS Data'!M18</f>
        <v>ug/kg</v>
      </c>
      <c r="O22" s="135" t="str">
        <f>'RAW ICP-MS Data'!N18</f>
        <v>ug/kg</v>
      </c>
      <c r="P22" s="135" t="str">
        <f>'RAW ICP-MS Data'!O18</f>
        <v>ug/kg</v>
      </c>
      <c r="Q22" s="135" t="str">
        <f>'RAW ICP-MS Data'!P18</f>
        <v>ug/kg</v>
      </c>
      <c r="R22" s="135" t="str">
        <f>'RAW ICP-MS Data'!Q18</f>
        <v>ug/kg</v>
      </c>
      <c r="S22" s="135" t="str">
        <f>'RAW ICP-MS Data'!R18</f>
        <v>ug/kg</v>
      </c>
      <c r="T22" s="135" t="str">
        <f>'RAW ICP-MS Data'!S18</f>
        <v>ug/kg</v>
      </c>
      <c r="U22" s="135" t="str">
        <f>'RAW ICP-MS Data'!T18</f>
        <v>ug/kg</v>
      </c>
      <c r="V22" s="135" t="str">
        <f>'RAW ICP-MS Data'!U18</f>
        <v>ug/kg</v>
      </c>
      <c r="W22" s="135" t="str">
        <f>'RAW ICP-MS Data'!V18</f>
        <v>ug/kg</v>
      </c>
      <c r="X22" s="135" t="str">
        <f>'RAW ICP-MS Data'!W18</f>
        <v>ug/kg</v>
      </c>
      <c r="Y22" s="135" t="str">
        <f>'RAW ICP-MS Data'!X18</f>
        <v>ug/kg</v>
      </c>
      <c r="Z22" s="135" t="str">
        <f>'RAW ICP-MS Data'!Y18</f>
        <v>ug/kg</v>
      </c>
      <c r="AA22" s="135" t="str">
        <f>'RAW ICP-MS Data'!Z18</f>
        <v>ug/kg</v>
      </c>
      <c r="AB22" s="135" t="str">
        <f>'RAW ICP-MS Data'!AA18</f>
        <v>ug/kg</v>
      </c>
      <c r="AC22" s="135" t="str">
        <f>'RAW ICP-MS Data'!AB18</f>
        <v>ug/kg</v>
      </c>
      <c r="AD22" s="135" t="str">
        <f>'RAW ICP-MS Data'!AC18</f>
        <v>ug/kg</v>
      </c>
      <c r="AE22" s="135" t="str">
        <f>'RAW ICP-MS Data'!AD18</f>
        <v>ug/kg</v>
      </c>
      <c r="AF22" s="135" t="str">
        <f>'RAW ICP-MS Data'!AE18</f>
        <v>ug/kg</v>
      </c>
      <c r="AG22" s="135" t="str">
        <f>'RAW ICP-MS Data'!AF18</f>
        <v>ug/kg</v>
      </c>
      <c r="AH22" s="135" t="str">
        <f>'RAW ICP-MS Data'!AG18</f>
        <v>ug/kg</v>
      </c>
      <c r="AI22" s="135" t="str">
        <f>'RAW ICP-MS Data'!AH18</f>
        <v>ug/kg</v>
      </c>
      <c r="AJ22" s="135" t="str">
        <f>'RAW ICP-MS Data'!AI18</f>
        <v>ug/kg</v>
      </c>
      <c r="AK22" s="135" t="str">
        <f>'RAW ICP-MS Data'!AJ18</f>
        <v>ug/kg</v>
      </c>
      <c r="AL22" s="135" t="str">
        <f>'RAW ICP-MS Data'!AK18</f>
        <v>ug/kg</v>
      </c>
      <c r="AM22" s="135" t="str">
        <f>'RAW ICP-MS Data'!AL18</f>
        <v>ug/kg</v>
      </c>
      <c r="AN22" s="135" t="str">
        <f>'RAW ICP-MS Data'!AM18</f>
        <v>ug/kg</v>
      </c>
    </row>
    <row r="23" spans="1:40" s="11" customFormat="1" ht="15.75" thickBot="1" x14ac:dyDescent="0.3">
      <c r="A23" s="11" t="str">
        <f>'Raw ICP-OES Data'!A19</f>
        <v>Total Metals after Acid Digestion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40" s="22" customFormat="1" ht="15.75" thickBot="1" x14ac:dyDescent="0.25">
      <c r="A24" s="51" t="str">
        <f>'Raw ICP-OES Data'!A20</f>
        <v>LiBs-Res-NaCl-1</v>
      </c>
      <c r="B24" s="108">
        <v>0.50060000000000004</v>
      </c>
      <c r="C24" s="46">
        <f>IF('RAW ICP-MS Data'!B20&lt;'ICP-MS Total Metals'!C$13,'ICP-MS Total Metals'!C$17,'RAW ICP-MS Data'!B20*50/'ICP-MS Total Metals'!$B24)</f>
        <v>1570.7809764120655</v>
      </c>
      <c r="D24" s="46">
        <f>IF('RAW ICP-MS Data'!C20&lt;'ICP-MS Total Metals'!D$13,'ICP-MS Total Metals'!D$17,'RAW ICP-MS Data'!C20*50/'ICP-MS Total Metals'!$B24)</f>
        <v>732.18199804406504</v>
      </c>
      <c r="E24" s="46">
        <f>IF('RAW ICP-MS Data'!D20&lt;'ICP-MS Total Metals'!E$13,'ICP-MS Total Metals'!E$17,'RAW ICP-MS Data'!D20*50/'ICP-MS Total Metals'!$B24)</f>
        <v>1649.9307965400217</v>
      </c>
      <c r="F24" s="46">
        <f>IF('RAW ICP-MS Data'!E20&lt;'ICP-MS Total Metals'!F$13,'ICP-MS Total Metals'!F$17,'RAW ICP-MS Data'!E20*50/'ICP-MS Total Metals'!$B24)</f>
        <v>1961.9804095650318</v>
      </c>
      <c r="G24" s="46">
        <f>IF('RAW ICP-MS Data'!F20&lt;'ICP-MS Total Metals'!G$13,'ICP-MS Total Metals'!G$17,'RAW ICP-MS Data'!F20*50/'ICP-MS Total Metals'!$B24)</f>
        <v>10870.840387867058</v>
      </c>
      <c r="H24" s="46">
        <f>IF('RAW ICP-MS Data'!G20&lt;'ICP-MS Total Metals'!H$13,'ICP-MS Total Metals'!H$17,'RAW ICP-MS Data'!G20*50/'ICP-MS Total Metals'!$B24)</f>
        <v>2197.9014814672591</v>
      </c>
      <c r="I24" s="46">
        <f>IF('RAW ICP-MS Data'!H20&lt;'ICP-MS Total Metals'!I$13,'ICP-MS Total Metals'!I$17,'RAW ICP-MS Data'!H20*50/'ICP-MS Total Metals'!$B24)</f>
        <v>89.844005619627438</v>
      </c>
      <c r="J24" s="46">
        <f>IF('RAW ICP-MS Data'!I20&lt;'ICP-MS Total Metals'!J$13,'ICP-MS Total Metals'!J$17,'RAW ICP-MS Data'!I20*50/'ICP-MS Total Metals'!$B24)</f>
        <v>1352.6045759236613</v>
      </c>
      <c r="K24" s="46">
        <f>IF('RAW ICP-MS Data'!J20&lt;'ICP-MS Total Metals'!K$13,'ICP-MS Total Metals'!K$17,'RAW ICP-MS Data'!J20*50/'ICP-MS Total Metals'!$B24)</f>
        <v>75974.465751790034</v>
      </c>
      <c r="L24" s="46">
        <f>IF('RAW ICP-MS Data'!K20&lt;'ICP-MS Total Metals'!L$13,'ICP-MS Total Metals'!L$17,'RAW ICP-MS Data'!K20*50/'ICP-MS Total Metals'!$B24)</f>
        <v>159.19022922108769</v>
      </c>
      <c r="M24" s="46">
        <f>IF('RAW ICP-MS Data'!L20&lt;'ICP-MS Total Metals'!M$13,'ICP-MS Total Metals'!M$17,'RAW ICP-MS Data'!L20*50/'ICP-MS Total Metals'!$B24)</f>
        <v>531.9079271948392</v>
      </c>
      <c r="N24" s="46">
        <f>IF('RAW ICP-MS Data'!M20&lt;'ICP-MS Total Metals'!N$13,'ICP-MS Total Metals'!N$17,'RAW ICP-MS Data'!M20*50/'ICP-MS Total Metals'!$B24)</f>
        <v>6075.2093473557534</v>
      </c>
      <c r="O24" s="46">
        <f>IF('RAW ICP-MS Data'!N20&lt;'ICP-MS Total Metals'!O$13,'ICP-MS Total Metals'!O$17,'RAW ICP-MS Data'!N20*50/'ICP-MS Total Metals'!$B24)</f>
        <v>21457.161420557131</v>
      </c>
      <c r="P24" s="46">
        <f>IF('RAW ICP-MS Data'!O20&lt;'ICP-MS Total Metals'!P$13,'ICP-MS Total Metals'!P$17,'RAW ICP-MS Data'!O20*50/'ICP-MS Total Metals'!$B24)</f>
        <v>2287.9707785404112</v>
      </c>
      <c r="Q24" s="46">
        <f>IF('RAW ICP-MS Data'!P20&lt;'ICP-MS Total Metals'!Q$13,'ICP-MS Total Metals'!Q$17,'RAW ICP-MS Data'!P20*50/'ICP-MS Total Metals'!$B24)</f>
        <v>9531.4152571425511</v>
      </c>
      <c r="R24" s="46">
        <f>IF('RAW ICP-MS Data'!Q20&lt;'ICP-MS Total Metals'!R$13,'ICP-MS Total Metals'!R$17,'RAW ICP-MS Data'!Q20*50/'ICP-MS Total Metals'!$B24)</f>
        <v>2205.0329864826604</v>
      </c>
      <c r="S24" s="46">
        <f>IF('RAW ICP-MS Data'!R20&lt;'ICP-MS Total Metals'!S$13,'ICP-MS Total Metals'!S$17,'RAW ICP-MS Data'!R20*50/'ICP-MS Total Metals'!$B24)</f>
        <v>463.68803308763682</v>
      </c>
      <c r="T24" s="46">
        <f>IF('RAW ICP-MS Data'!S20&lt;'ICP-MS Total Metals'!T$13,'ICP-MS Total Metals'!T$17,'RAW ICP-MS Data'!S20*50/'ICP-MS Total Metals'!$B24)</f>
        <v>2505.9573115105973</v>
      </c>
      <c r="U24" s="46">
        <f>IF('RAW ICP-MS Data'!T20&lt;'ICP-MS Total Metals'!U$13,'ICP-MS Total Metals'!U$17,'RAW ICP-MS Data'!T20*50/'ICP-MS Total Metals'!$B24)</f>
        <v>310.09842438823307</v>
      </c>
      <c r="V24" s="46">
        <f>IF('RAW ICP-MS Data'!U20&lt;'ICP-MS Total Metals'!V$13,'ICP-MS Total Metals'!V$17,'RAW ICP-MS Data'!U20*50/'ICP-MS Total Metals'!$B24)</f>
        <v>1995.035727363304</v>
      </c>
      <c r="W24" s="46">
        <f>IF('RAW ICP-MS Data'!V20&lt;'ICP-MS Total Metals'!W$13,'ICP-MS Total Metals'!W$17,'RAW ICP-MS Data'!V20*50/'ICP-MS Total Metals'!$B24)</f>
        <v>417.22699777713035</v>
      </c>
      <c r="X24" s="46">
        <f>IF('RAW ICP-MS Data'!W20&lt;'ICP-MS Total Metals'!X$13,'ICP-MS Total Metals'!X$17,'RAW ICP-MS Data'!W20*50/'ICP-MS Total Metals'!$B24)</f>
        <v>1197.2838532853275</v>
      </c>
      <c r="Y24" s="46">
        <f>IF('RAW ICP-MS Data'!X20&lt;'ICP-MS Total Metals'!Y$13,'ICP-MS Total Metals'!Y$17,'RAW ICP-MS Data'!X20*50/'ICP-MS Total Metals'!$B24)</f>
        <v>157.42134211535358</v>
      </c>
      <c r="Z24" s="46">
        <f>IF('RAW ICP-MS Data'!Y20&lt;'ICP-MS Total Metals'!Z$13,'ICP-MS Total Metals'!Z$17,'RAW ICP-MS Data'!Y20*50/'ICP-MS Total Metals'!$B24)</f>
        <v>1000.8427386541249</v>
      </c>
      <c r="AA24" s="46">
        <f>IF('RAW ICP-MS Data'!Z20&lt;'ICP-MS Total Metals'!AA$13,'ICP-MS Total Metals'!AA$17,'RAW ICP-MS Data'!Z20*50/'ICP-MS Total Metals'!$B24)</f>
        <v>139.80125596552136</v>
      </c>
      <c r="AB24" s="46">
        <f>IF('RAW ICP-MS Data'!AA20&lt;'ICP-MS Total Metals'!AB$13,'ICP-MS Total Metals'!AB$17,'RAW ICP-MS Data'!AA20*50/'ICP-MS Total Metals'!$B24)</f>
        <v>119.5865609536426</v>
      </c>
      <c r="AC24" s="46">
        <f>IF('RAW ICP-MS Data'!AB20&lt;'ICP-MS Total Metals'!AC$13,'ICP-MS Total Metals'!AC$17,'RAW ICP-MS Data'!AB20*50/'ICP-MS Total Metals'!$B24)</f>
        <v>21.436580069487611</v>
      </c>
      <c r="AD24" s="46">
        <f>IF('RAW ICP-MS Data'!AC20&lt;'ICP-MS Total Metals'!AD$13,'ICP-MS Total Metals'!AD$17,'RAW ICP-MS Data'!AC20*50/'ICP-MS Total Metals'!$B24)</f>
        <v>67.017852710479019</v>
      </c>
      <c r="AE24" s="46">
        <f>IF('RAW ICP-MS Data'!AD20&lt;'ICP-MS Total Metals'!AE$13,'ICP-MS Total Metals'!AE$17,'RAW ICP-MS Data'!AD20*50/'ICP-MS Total Metals'!$B24)</f>
        <v>896.0239460546494</v>
      </c>
      <c r="AF24" s="46">
        <f>IF('RAW ICP-MS Data'!AE20&lt;'ICP-MS Total Metals'!AF$13,'ICP-MS Total Metals'!AF$17,'RAW ICP-MS Data'!AE20*50/'ICP-MS Total Metals'!$B24)</f>
        <v>1531.7474536489012</v>
      </c>
      <c r="AG24" s="46">
        <f>IF('RAW ICP-MS Data'!AF20&lt;'ICP-MS Total Metals'!AG$13,'ICP-MS Total Metals'!AG$17,'RAW ICP-MS Data'!AF20*50/'ICP-MS Total Metals'!$B24)</f>
        <v>848.14348337666775</v>
      </c>
      <c r="AH24" s="46">
        <f>IF('RAW ICP-MS Data'!AG20&lt;'ICP-MS Total Metals'!AH$13,'ICP-MS Total Metals'!AH$17,'RAW ICP-MS Data'!AG20*50/'ICP-MS Total Metals'!$B24)</f>
        <v>0</v>
      </c>
      <c r="AI24" s="46">
        <f>IF('RAW ICP-MS Data'!AH20&lt;'ICP-MS Total Metals'!AI$13,'ICP-MS Total Metals'!AI$17,'RAW ICP-MS Data'!AH20*50/'ICP-MS Total Metals'!$B24)</f>
        <v>33.821421576662999</v>
      </c>
      <c r="AJ24" s="46">
        <f>IF('RAW ICP-MS Data'!AI20&lt;'ICP-MS Total Metals'!AJ$13,'ICP-MS Total Metals'!AJ$17,'RAW ICP-MS Data'!AI20*50/'ICP-MS Total Metals'!$B24)</f>
        <v>444.37494864791142</v>
      </c>
      <c r="AK24" s="46">
        <f>IF('RAW ICP-MS Data'!AJ20&lt;'ICP-MS Total Metals'!AK$13,'ICP-MS Total Metals'!AK$17,'RAW ICP-MS Data'!AJ20*50/'ICP-MS Total Metals'!$B24)</f>
        <v>111.56535447130042</v>
      </c>
      <c r="AL24" s="46">
        <f>IF('RAW ICP-MS Data'!AK20&lt;'ICP-MS Total Metals'!AL$13,'ICP-MS Total Metals'!AL$17,'RAW ICP-MS Data'!AK20*50/'ICP-MS Total Metals'!$B24)</f>
        <v>8869.6322631894418</v>
      </c>
      <c r="AM24" s="46">
        <f>IF('RAW ICP-MS Data'!AL20&lt;'ICP-MS Total Metals'!AM$13,'ICP-MS Total Metals'!AM$17,'RAW ICP-MS Data'!AL20*50/'ICP-MS Total Metals'!$B24)</f>
        <v>35.929969888869856</v>
      </c>
      <c r="AN24" s="46">
        <f>IF('RAW ICP-MS Data'!AM20&lt;'ICP-MS Total Metals'!AN$13,'ICP-MS Total Metals'!AN$17,'RAW ICP-MS Data'!AM20*50/'ICP-MS Total Metals'!$B24)</f>
        <v>0</v>
      </c>
    </row>
    <row r="25" spans="1:40" s="22" customFormat="1" ht="15.75" thickBot="1" x14ac:dyDescent="0.25">
      <c r="A25" s="51" t="str">
        <f>'Raw ICP-OES Data'!A21</f>
        <v>LiBs-Res-NaCl-2</v>
      </c>
      <c r="B25" s="108">
        <v>0.49969999999999998</v>
      </c>
      <c r="C25" s="46">
        <f>IF('RAW ICP-MS Data'!B21&lt;'ICP-MS Total Metals'!C$13,'ICP-MS Total Metals'!C$17,'RAW ICP-MS Data'!B21*50/'ICP-MS Total Metals'!$B25)</f>
        <v>1394.3882046979486</v>
      </c>
      <c r="D25" s="46">
        <f>IF('RAW ICP-MS Data'!C21&lt;'ICP-MS Total Metals'!D$13,'ICP-MS Total Metals'!D$17,'RAW ICP-MS Data'!C21*50/'ICP-MS Total Metals'!$B25)</f>
        <v>515.9879883567171</v>
      </c>
      <c r="E25" s="46">
        <f>IF('RAW ICP-MS Data'!D21&lt;'ICP-MS Total Metals'!E$13,'ICP-MS Total Metals'!E$17,'RAW ICP-MS Data'!D21*50/'ICP-MS Total Metals'!$B25)</f>
        <v>1623.894732441415</v>
      </c>
      <c r="F25" s="46">
        <f>IF('RAW ICP-MS Data'!E21&lt;'ICP-MS Total Metals'!F$13,'ICP-MS Total Metals'!F$17,'RAW ICP-MS Data'!E21*50/'ICP-MS Total Metals'!$B25)</f>
        <v>1540.6554719069645</v>
      </c>
      <c r="G25" s="46">
        <f>IF('RAW ICP-MS Data'!F21&lt;'ICP-MS Total Metals'!G$13,'ICP-MS Total Metals'!G$17,'RAW ICP-MS Data'!F21*50/'ICP-MS Total Metals'!$B25)</f>
        <v>10075.81423958485</v>
      </c>
      <c r="H25" s="46">
        <f>IF('RAW ICP-MS Data'!G21&lt;'ICP-MS Total Metals'!H$13,'ICP-MS Total Metals'!H$17,'RAW ICP-MS Data'!G21*50/'ICP-MS Total Metals'!$B25)</f>
        <v>1926.2035943878629</v>
      </c>
      <c r="I25" s="46">
        <f>IF('RAW ICP-MS Data'!H21&lt;'ICP-MS Total Metals'!I$13,'ICP-MS Total Metals'!I$17,'RAW ICP-MS Data'!H21*50/'ICP-MS Total Metals'!$B25)</f>
        <v>69.095656166417442</v>
      </c>
      <c r="J25" s="46">
        <f>IF('RAW ICP-MS Data'!I21&lt;'ICP-MS Total Metals'!J$13,'ICP-MS Total Metals'!J$17,'RAW ICP-MS Data'!I21*50/'ICP-MS Total Metals'!$B25)</f>
        <v>804.73759662642897</v>
      </c>
      <c r="K25" s="46">
        <f>IF('RAW ICP-MS Data'!J21&lt;'ICP-MS Total Metals'!K$13,'ICP-MS Total Metals'!K$17,'RAW ICP-MS Data'!J21*50/'ICP-MS Total Metals'!$B25)</f>
        <v>295837.39361221337</v>
      </c>
      <c r="L25" s="46">
        <f>IF('RAW ICP-MS Data'!K21&lt;'ICP-MS Total Metals'!L$13,'ICP-MS Total Metals'!L$17,'RAW ICP-MS Data'!K21*50/'ICP-MS Total Metals'!$B25)</f>
        <v>75.622519373995303</v>
      </c>
      <c r="M25" s="46">
        <f>IF('RAW ICP-MS Data'!L21&lt;'ICP-MS Total Metals'!M$13,'ICP-MS Total Metals'!M$17,'RAW ICP-MS Data'!L21*50/'ICP-MS Total Metals'!$B25)</f>
        <v>426.08491701504198</v>
      </c>
      <c r="N25" s="46">
        <f>IF('RAW ICP-MS Data'!M21&lt;'ICP-MS Total Metals'!N$13,'ICP-MS Total Metals'!N$17,'RAW ICP-MS Data'!M21*50/'ICP-MS Total Metals'!$B25)</f>
        <v>5536.4961061811091</v>
      </c>
      <c r="O25" s="46">
        <f>IF('RAW ICP-MS Data'!N21&lt;'ICP-MS Total Metals'!O$13,'ICP-MS Total Metals'!O$17,'RAW ICP-MS Data'!N21*50/'ICP-MS Total Metals'!$B25)</f>
        <v>19311.710791681708</v>
      </c>
      <c r="P25" s="46">
        <f>IF('RAW ICP-MS Data'!O21&lt;'ICP-MS Total Metals'!P$13,'ICP-MS Total Metals'!P$17,'RAW ICP-MS Data'!O21*50/'ICP-MS Total Metals'!$B25)</f>
        <v>2079.6777480956175</v>
      </c>
      <c r="Q25" s="46">
        <f>IF('RAW ICP-MS Data'!P21&lt;'ICP-MS Total Metals'!Q$13,'ICP-MS Total Metals'!Q$17,'RAW ICP-MS Data'!P21*50/'ICP-MS Total Metals'!$B25)</f>
        <v>8514.2063373921337</v>
      </c>
      <c r="R25" s="46">
        <f>IF('RAW ICP-MS Data'!Q21&lt;'ICP-MS Total Metals'!R$13,'ICP-MS Total Metals'!R$17,'RAW ICP-MS Data'!Q21*50/'ICP-MS Total Metals'!$B25)</f>
        <v>1942.4833969544227</v>
      </c>
      <c r="S25" s="46">
        <f>IF('RAW ICP-MS Data'!R21&lt;'ICP-MS Total Metals'!S$13,'ICP-MS Total Metals'!S$17,'RAW ICP-MS Data'!R21*50/'ICP-MS Total Metals'!$B25)</f>
        <v>418.48317784340105</v>
      </c>
      <c r="T25" s="46">
        <f>IF('RAW ICP-MS Data'!S21&lt;'ICP-MS Total Metals'!T$13,'ICP-MS Total Metals'!T$17,'RAW ICP-MS Data'!S21*50/'ICP-MS Total Metals'!$B25)</f>
        <v>2259.1838504266861</v>
      </c>
      <c r="U25" s="46">
        <f>IF('RAW ICP-MS Data'!T21&lt;'ICP-MS Total Metals'!U$13,'ICP-MS Total Metals'!U$17,'RAW ICP-MS Data'!T21*50/'ICP-MS Total Metals'!$B25)</f>
        <v>261.25398662257658</v>
      </c>
      <c r="V25" s="46">
        <f>IF('RAW ICP-MS Data'!U21&lt;'ICP-MS Total Metals'!V$13,'ICP-MS Total Metals'!V$17,'RAW ICP-MS Data'!U21*50/'ICP-MS Total Metals'!$B25)</f>
        <v>1830.7897217382733</v>
      </c>
      <c r="W25" s="46">
        <f>IF('RAW ICP-MS Data'!V21&lt;'ICP-MS Total Metals'!W$13,'ICP-MS Total Metals'!W$17,'RAW ICP-MS Data'!V21*50/'ICP-MS Total Metals'!$B25)</f>
        <v>377.15487391086151</v>
      </c>
      <c r="X25" s="46">
        <f>IF('RAW ICP-MS Data'!W21&lt;'ICP-MS Total Metals'!X$13,'ICP-MS Total Metals'!X$17,'RAW ICP-MS Data'!W21*50/'ICP-MS Total Metals'!$B25)</f>
        <v>1092.1266185570341</v>
      </c>
      <c r="Y25" s="46">
        <f>IF('RAW ICP-MS Data'!X21&lt;'ICP-MS Total Metals'!Y$13,'ICP-MS Total Metals'!Y$17,'RAW ICP-MS Data'!X21*50/'ICP-MS Total Metals'!$B25)</f>
        <v>145.35001681401644</v>
      </c>
      <c r="Z25" s="46">
        <f>IF('RAW ICP-MS Data'!Y21&lt;'ICP-MS Total Metals'!Z$13,'ICP-MS Total Metals'!Z$17,'RAW ICP-MS Data'!Y21*50/'ICP-MS Total Metals'!$B25)</f>
        <v>926.41285111902243</v>
      </c>
      <c r="AA25" s="46">
        <f>IF('RAW ICP-MS Data'!Z21&lt;'ICP-MS Total Metals'!AA$13,'ICP-MS Total Metals'!AA$17,'RAW ICP-MS Data'!Z21*50/'ICP-MS Total Metals'!$B25)</f>
        <v>130.34168155840806</v>
      </c>
      <c r="AB25" s="46">
        <f>IF('RAW ICP-MS Data'!AA21&lt;'ICP-MS Total Metals'!AB$13,'ICP-MS Total Metals'!AB$17,'RAW ICP-MS Data'!AA21*50/'ICP-MS Total Metals'!$B25)</f>
        <v>93.379438274895534</v>
      </c>
      <c r="AC25" s="46">
        <f>IF('RAW ICP-MS Data'!AB21&lt;'ICP-MS Total Metals'!AC$13,'ICP-MS Total Metals'!AC$17,'RAW ICP-MS Data'!AB21*50/'ICP-MS Total Metals'!$B25)</f>
        <v>12.564974226096059</v>
      </c>
      <c r="AD25" s="46">
        <f>IF('RAW ICP-MS Data'!AC21&lt;'ICP-MS Total Metals'!AD$13,'ICP-MS Total Metals'!AD$17,'RAW ICP-MS Data'!AC21*50/'ICP-MS Total Metals'!$B25)</f>
        <v>51.923691424469986</v>
      </c>
      <c r="AE25" s="46">
        <f>IF('RAW ICP-MS Data'!AD21&lt;'ICP-MS Total Metals'!AE$13,'ICP-MS Total Metals'!AE$17,'RAW ICP-MS Data'!AD21*50/'ICP-MS Total Metals'!$B25)</f>
        <v>985.03713314759455</v>
      </c>
      <c r="AF25" s="46">
        <f>IF('RAW ICP-MS Data'!AE21&lt;'ICP-MS Total Metals'!AF$13,'ICP-MS Total Metals'!AF$17,'RAW ICP-MS Data'!AE21*50/'ICP-MS Total Metals'!$B25)</f>
        <v>1396.9903571572245</v>
      </c>
      <c r="AG25" s="46">
        <f>IF('RAW ICP-MS Data'!AF21&lt;'ICP-MS Total Metals'!AG$13,'ICP-MS Total Metals'!AG$17,'RAW ICP-MS Data'!AF21*50/'ICP-MS Total Metals'!$B25)</f>
        <v>772.47967819861015</v>
      </c>
      <c r="AH25" s="46">
        <f>IF('RAW ICP-MS Data'!AG21&lt;'ICP-MS Total Metals'!AH$13,'ICP-MS Total Metals'!AH$17,'RAW ICP-MS Data'!AG21*50/'ICP-MS Total Metals'!$B25)</f>
        <v>0</v>
      </c>
      <c r="AI25" s="46">
        <f>IF('RAW ICP-MS Data'!AH21&lt;'ICP-MS Total Metals'!AI$13,'ICP-MS Total Metals'!AI$17,'RAW ICP-MS Data'!AH21*50/'ICP-MS Total Metals'!$B25)</f>
        <v>8.6550072036789985</v>
      </c>
      <c r="AJ25" s="46">
        <f>IF('RAW ICP-MS Data'!AI21&lt;'ICP-MS Total Metals'!AJ$13,'ICP-MS Total Metals'!AJ$17,'RAW ICP-MS Data'!AI21*50/'ICP-MS Total Metals'!$B25)</f>
        <v>296.58715715496299</v>
      </c>
      <c r="AK25" s="46">
        <f>IF('RAW ICP-MS Data'!AJ21&lt;'ICP-MS Total Metals'!AK$13,'ICP-MS Total Metals'!AK$17,'RAW ICP-MS Data'!AJ21*50/'ICP-MS Total Metals'!$B25)</f>
        <v>0</v>
      </c>
      <c r="AL25" s="46">
        <f>IF('RAW ICP-MS Data'!AK21&lt;'ICP-MS Total Metals'!AL$13,'ICP-MS Total Metals'!AL$17,'RAW ICP-MS Data'!AK21*50/'ICP-MS Total Metals'!$B25)</f>
        <v>11113.7161113329</v>
      </c>
      <c r="AM25" s="46">
        <f>IF('RAW ICP-MS Data'!AL21&lt;'ICP-MS Total Metals'!AM$13,'ICP-MS Total Metals'!AM$17,'RAW ICP-MS Data'!AL21*50/'ICP-MS Total Metals'!$B25)</f>
        <v>0</v>
      </c>
      <c r="AN25" s="46">
        <f>IF('RAW ICP-MS Data'!AM21&lt;'ICP-MS Total Metals'!AN$13,'ICP-MS Total Metals'!AN$17,'RAW ICP-MS Data'!AM21*50/'ICP-MS Total Metals'!$B25)</f>
        <v>0</v>
      </c>
    </row>
    <row r="26" spans="1:40" s="22" customFormat="1" ht="15.75" thickBot="1" x14ac:dyDescent="0.25">
      <c r="A26" s="51" t="str">
        <f>'Raw ICP-OES Data'!A22</f>
        <v>LiBs-Res-NaCl-3</v>
      </c>
      <c r="B26" s="108">
        <v>0.50070000000000003</v>
      </c>
      <c r="C26" s="46">
        <f>IF('RAW ICP-MS Data'!B22&lt;'ICP-MS Total Metals'!C$13,'ICP-MS Total Metals'!C$17,'RAW ICP-MS Data'!B22*50/'ICP-MS Total Metals'!$B26)</f>
        <v>1482.8659189983921</v>
      </c>
      <c r="D26" s="46">
        <f>IF('RAW ICP-MS Data'!C22&lt;'ICP-MS Total Metals'!D$13,'ICP-MS Total Metals'!D$17,'RAW ICP-MS Data'!C22*50/'ICP-MS Total Metals'!$B26)</f>
        <v>791.08186397942575</v>
      </c>
      <c r="E26" s="46">
        <f>IF('RAW ICP-MS Data'!D22&lt;'ICP-MS Total Metals'!E$13,'ICP-MS Total Metals'!E$17,'RAW ICP-MS Data'!D22*50/'ICP-MS Total Metals'!$B26)</f>
        <v>1733.766360977711</v>
      </c>
      <c r="F26" s="46">
        <f>IF('RAW ICP-MS Data'!E22&lt;'ICP-MS Total Metals'!F$13,'ICP-MS Total Metals'!F$17,'RAW ICP-MS Data'!E22*50/'ICP-MS Total Metals'!$B26)</f>
        <v>1982.6547956599461</v>
      </c>
      <c r="G26" s="46">
        <f>IF('RAW ICP-MS Data'!F22&lt;'ICP-MS Total Metals'!G$13,'ICP-MS Total Metals'!G$17,'RAW ICP-MS Data'!F22*50/'ICP-MS Total Metals'!$B26)</f>
        <v>10357.14411098512</v>
      </c>
      <c r="H26" s="46">
        <f>IF('RAW ICP-MS Data'!G22&lt;'ICP-MS Total Metals'!H$13,'ICP-MS Total Metals'!H$17,'RAW ICP-MS Data'!G22*50/'ICP-MS Total Metals'!$B26)</f>
        <v>2194.1242255424308</v>
      </c>
      <c r="I26" s="46">
        <f>IF('RAW ICP-MS Data'!H22&lt;'ICP-MS Total Metals'!I$13,'ICP-MS Total Metals'!I$17,'RAW ICP-MS Data'!H22*50/'ICP-MS Total Metals'!$B26)</f>
        <v>71.586743417564705</v>
      </c>
      <c r="J26" s="46">
        <f>IF('RAW ICP-MS Data'!I22&lt;'ICP-MS Total Metals'!J$13,'ICP-MS Total Metals'!J$17,'RAW ICP-MS Data'!I22*50/'ICP-MS Total Metals'!$B26)</f>
        <v>586.48212310673955</v>
      </c>
      <c r="K26" s="46">
        <f>IF('RAW ICP-MS Data'!J22&lt;'ICP-MS Total Metals'!K$13,'ICP-MS Total Metals'!K$17,'RAW ICP-MS Data'!J22*50/'ICP-MS Total Metals'!$B26)</f>
        <v>459316.34981061105</v>
      </c>
      <c r="L26" s="46">
        <f>IF('RAW ICP-MS Data'!K22&lt;'ICP-MS Total Metals'!L$13,'ICP-MS Total Metals'!L$17,'RAW ICP-MS Data'!K22*50/'ICP-MS Total Metals'!$B26)</f>
        <v>43.974348035756634</v>
      </c>
      <c r="M26" s="46">
        <f>IF('RAW ICP-MS Data'!L22&lt;'ICP-MS Total Metals'!M$13,'ICP-MS Total Metals'!M$17,'RAW ICP-MS Data'!L22*50/'ICP-MS Total Metals'!$B26)</f>
        <v>401.24981213301174</v>
      </c>
      <c r="N26" s="46">
        <f>IF('RAW ICP-MS Data'!M22&lt;'ICP-MS Total Metals'!N$13,'ICP-MS Total Metals'!N$17,'RAW ICP-MS Data'!M22*50/'ICP-MS Total Metals'!$B26)</f>
        <v>5997.6091594930485</v>
      </c>
      <c r="O26" s="46">
        <f>IF('RAW ICP-MS Data'!N22&lt;'ICP-MS Total Metals'!O$13,'ICP-MS Total Metals'!O$17,'RAW ICP-MS Data'!N22*50/'ICP-MS Total Metals'!$B26)</f>
        <v>20762.497632832634</v>
      </c>
      <c r="P26" s="46">
        <f>IF('RAW ICP-MS Data'!O22&lt;'ICP-MS Total Metals'!P$13,'ICP-MS Total Metals'!P$17,'RAW ICP-MS Data'!O22*50/'ICP-MS Total Metals'!$B26)</f>
        <v>2204.8125309897146</v>
      </c>
      <c r="Q26" s="46">
        <f>IF('RAW ICP-MS Data'!P22&lt;'ICP-MS Total Metals'!Q$13,'ICP-MS Total Metals'!Q$17,'RAW ICP-MS Data'!P22*50/'ICP-MS Total Metals'!$B26)</f>
        <v>8982.8309173819453</v>
      </c>
      <c r="R26" s="46">
        <f>IF('RAW ICP-MS Data'!Q22&lt;'ICP-MS Total Metals'!R$13,'ICP-MS Total Metals'!R$17,'RAW ICP-MS Data'!Q22*50/'ICP-MS Total Metals'!$B26)</f>
        <v>2060.8898450606653</v>
      </c>
      <c r="S26" s="46">
        <f>IF('RAW ICP-MS Data'!R22&lt;'ICP-MS Total Metals'!S$13,'ICP-MS Total Metals'!S$17,'RAW ICP-MS Data'!R22*50/'ICP-MS Total Metals'!$B26)</f>
        <v>432.92597978629612</v>
      </c>
      <c r="T26" s="46">
        <f>IF('RAW ICP-MS Data'!S22&lt;'ICP-MS Total Metals'!T$13,'ICP-MS Total Metals'!T$17,'RAW ICP-MS Data'!S22*50/'ICP-MS Total Metals'!$B26)</f>
        <v>2370.4136089252847</v>
      </c>
      <c r="U26" s="46">
        <f>IF('RAW ICP-MS Data'!T22&lt;'ICP-MS Total Metals'!U$13,'ICP-MS Total Metals'!U$17,'RAW ICP-MS Data'!T22*50/'ICP-MS Total Metals'!$B26)</f>
        <v>299.56219656655082</v>
      </c>
      <c r="V26" s="46">
        <f>IF('RAW ICP-MS Data'!U22&lt;'ICP-MS Total Metals'!V$13,'ICP-MS Total Metals'!V$17,'RAW ICP-MS Data'!U22*50/'ICP-MS Total Metals'!$B26)</f>
        <v>1898.2297637270617</v>
      </c>
      <c r="W26" s="46">
        <f>IF('RAW ICP-MS Data'!V22&lt;'ICP-MS Total Metals'!W$13,'ICP-MS Total Metals'!W$17,'RAW ICP-MS Data'!V22*50/'ICP-MS Total Metals'!$B26)</f>
        <v>399.89771725376272</v>
      </c>
      <c r="X26" s="46">
        <f>IF('RAW ICP-MS Data'!W22&lt;'ICP-MS Total Metals'!X$13,'ICP-MS Total Metals'!X$17,'RAW ICP-MS Data'!W22*50/'ICP-MS Total Metals'!$B26)</f>
        <v>1119.6311300125226</v>
      </c>
      <c r="Y26" s="46">
        <f>IF('RAW ICP-MS Data'!X22&lt;'ICP-MS Total Metals'!Y$13,'ICP-MS Total Metals'!Y$17,'RAW ICP-MS Data'!X22*50/'ICP-MS Total Metals'!$B26)</f>
        <v>157.53833271664169</v>
      </c>
      <c r="Z26" s="46">
        <f>IF('RAW ICP-MS Data'!Y22&lt;'ICP-MS Total Metals'!Z$13,'ICP-MS Total Metals'!Z$17,'RAW ICP-MS Data'!Y22*50/'ICP-MS Total Metals'!$B26)</f>
        <v>948.91848251856391</v>
      </c>
      <c r="AA26" s="46">
        <f>IF('RAW ICP-MS Data'!Z22&lt;'ICP-MS Total Metals'!AA$13,'ICP-MS Total Metals'!AA$17,'RAW ICP-MS Data'!Z22*50/'ICP-MS Total Metals'!$B26)</f>
        <v>138.94733067974335</v>
      </c>
      <c r="AB26" s="46">
        <f>IF('RAW ICP-MS Data'!AA22&lt;'ICP-MS Total Metals'!AB$13,'ICP-MS Total Metals'!AB$17,'RAW ICP-MS Data'!AA22*50/'ICP-MS Total Metals'!$B26)</f>
        <v>107.08705261662072</v>
      </c>
      <c r="AC26" s="46">
        <f>IF('RAW ICP-MS Data'!AB22&lt;'ICP-MS Total Metals'!AC$13,'ICP-MS Total Metals'!AC$17,'RAW ICP-MS Data'!AB22*50/'ICP-MS Total Metals'!$B26)</f>
        <v>10.673427415040143</v>
      </c>
      <c r="AD26" s="46">
        <f>IF('RAW ICP-MS Data'!AC22&lt;'ICP-MS Total Metals'!AD$13,'ICP-MS Total Metals'!AD$17,'RAW ICP-MS Data'!AC22*50/'ICP-MS Total Metals'!$B26)</f>
        <v>58.892340749956752</v>
      </c>
      <c r="AE26" s="46">
        <f>IF('RAW ICP-MS Data'!AD22&lt;'ICP-MS Total Metals'!AE$13,'ICP-MS Total Metals'!AE$17,'RAW ICP-MS Data'!AD22*50/'ICP-MS Total Metals'!$B26)</f>
        <v>411.55791033374072</v>
      </c>
      <c r="AF26" s="46">
        <f>IF('RAW ICP-MS Data'!AE22&lt;'ICP-MS Total Metals'!AF$13,'ICP-MS Total Metals'!AF$17,'RAW ICP-MS Data'!AE22*50/'ICP-MS Total Metals'!$B26)</f>
        <v>1553.5884213893648</v>
      </c>
      <c r="AG26" s="46">
        <f>IF('RAW ICP-MS Data'!AF22&lt;'ICP-MS Total Metals'!AG$13,'ICP-MS Total Metals'!AG$17,'RAW ICP-MS Data'!AF22*50/'ICP-MS Total Metals'!$B26)</f>
        <v>773.4134169031264</v>
      </c>
      <c r="AH26" s="46">
        <f>IF('RAW ICP-MS Data'!AG22&lt;'ICP-MS Total Metals'!AH$13,'ICP-MS Total Metals'!AH$17,'RAW ICP-MS Data'!AG22*50/'ICP-MS Total Metals'!$B26)</f>
        <v>0</v>
      </c>
      <c r="AI26" s="46">
        <f>IF('RAW ICP-MS Data'!AH22&lt;'ICP-MS Total Metals'!AI$13,'ICP-MS Total Metals'!AI$17,'RAW ICP-MS Data'!AH22*50/'ICP-MS Total Metals'!$B26)</f>
        <v>40.129117265363682</v>
      </c>
      <c r="AJ26" s="46">
        <f>IF('RAW ICP-MS Data'!AI22&lt;'ICP-MS Total Metals'!AJ$13,'ICP-MS Total Metals'!AJ$17,'RAW ICP-MS Data'!AI22*50/'ICP-MS Total Metals'!$B26)</f>
        <v>504.22918109674157</v>
      </c>
      <c r="AK26" s="46">
        <f>IF('RAW ICP-MS Data'!AJ22&lt;'ICP-MS Total Metals'!AK$13,'ICP-MS Total Metals'!AK$17,'RAW ICP-MS Data'!AJ22*50/'ICP-MS Total Metals'!$B26)</f>
        <v>0</v>
      </c>
      <c r="AL26" s="46">
        <f>IF('RAW ICP-MS Data'!AK22&lt;'ICP-MS Total Metals'!AL$13,'ICP-MS Total Metals'!AL$17,'RAW ICP-MS Data'!AK22*50/'ICP-MS Total Metals'!$B26)</f>
        <v>22104.238719703015</v>
      </c>
      <c r="AM26" s="46">
        <f>IF('RAW ICP-MS Data'!AL22&lt;'ICP-MS Total Metals'!AM$13,'ICP-MS Total Metals'!AM$17,'RAW ICP-MS Data'!AL22*50/'ICP-MS Total Metals'!$B26)</f>
        <v>0</v>
      </c>
      <c r="AN26" s="46">
        <f>IF('RAW ICP-MS Data'!AM22&lt;'ICP-MS Total Metals'!AN$13,'ICP-MS Total Metals'!AN$17,'RAW ICP-MS Data'!AM22*50/'ICP-MS Total Metals'!$B26)</f>
        <v>0</v>
      </c>
    </row>
    <row r="27" spans="1:40" s="22" customFormat="1" ht="15.75" thickBot="1" x14ac:dyDescent="0.25">
      <c r="A27" s="51">
        <f>'Raw ICP-OES Data'!A23</f>
        <v>0</v>
      </c>
      <c r="B27" s="108">
        <v>0.50139999999999996</v>
      </c>
      <c r="C27" s="46">
        <f>IF('RAW ICP-MS Data'!B23&lt;'ICP-MS Total Metals'!C$13,'ICP-MS Total Metals'!C$17,'RAW ICP-MS Data'!B23*50/'ICP-MS Total Metals'!$B27)</f>
        <v>1758.6522059925112</v>
      </c>
      <c r="D27" s="46">
        <f>IF('RAW ICP-MS Data'!C23&lt;'ICP-MS Total Metals'!D$13,'ICP-MS Total Metals'!D$17,'RAW ICP-MS Data'!C23*50/'ICP-MS Total Metals'!$B27)</f>
        <v>1072.1092911460112</v>
      </c>
      <c r="E27" s="46">
        <f>IF('RAW ICP-MS Data'!D23&lt;'ICP-MS Total Metals'!E$13,'ICP-MS Total Metals'!E$17,'RAW ICP-MS Data'!D23*50/'ICP-MS Total Metals'!$B27)</f>
        <v>2044.072503166843</v>
      </c>
      <c r="F27" s="46">
        <f>IF('RAW ICP-MS Data'!E23&lt;'ICP-MS Total Metals'!F$13,'ICP-MS Total Metals'!F$17,'RAW ICP-MS Data'!E23*50/'ICP-MS Total Metals'!$B27)</f>
        <v>3244.7341900048168</v>
      </c>
      <c r="G27" s="46">
        <f>IF('RAW ICP-MS Data'!F23&lt;'ICP-MS Total Metals'!G$13,'ICP-MS Total Metals'!G$17,'RAW ICP-MS Data'!F23*50/'ICP-MS Total Metals'!$B27)</f>
        <v>11164.623407358895</v>
      </c>
      <c r="H27" s="46">
        <f>IF('RAW ICP-MS Data'!G23&lt;'ICP-MS Total Metals'!H$13,'ICP-MS Total Metals'!H$17,'RAW ICP-MS Data'!G23*50/'ICP-MS Total Metals'!$B27)</f>
        <v>2763.9381447727465</v>
      </c>
      <c r="I27" s="46">
        <f>IF('RAW ICP-MS Data'!H23&lt;'ICP-MS Total Metals'!I$13,'ICP-MS Total Metals'!I$17,'RAW ICP-MS Data'!H23*50/'ICP-MS Total Metals'!$B27)</f>
        <v>53.593826837110392</v>
      </c>
      <c r="J27" s="46">
        <f>IF('RAW ICP-MS Data'!I23&lt;'ICP-MS Total Metals'!J$13,'ICP-MS Total Metals'!J$17,'RAW ICP-MS Data'!I23*50/'ICP-MS Total Metals'!$B27)</f>
        <v>664.77770369922234</v>
      </c>
      <c r="K27" s="46">
        <f>IF('RAW ICP-MS Data'!J23&lt;'ICP-MS Total Metals'!K$13,'ICP-MS Total Metals'!K$17,'RAW ICP-MS Data'!J23*50/'ICP-MS Total Metals'!$B27)</f>
        <v>133343.56199824592</v>
      </c>
      <c r="L27" s="46">
        <f>IF('RAW ICP-MS Data'!K23&lt;'ICP-MS Total Metals'!L$13,'ICP-MS Total Metals'!L$17,'RAW ICP-MS Data'!K23*50/'ICP-MS Total Metals'!$B27)</f>
        <v>50.495264192504592</v>
      </c>
      <c r="M27" s="46">
        <f>IF('RAW ICP-MS Data'!L23&lt;'ICP-MS Total Metals'!M$13,'ICP-MS Total Metals'!M$17,'RAW ICP-MS Data'!L23*50/'ICP-MS Total Metals'!$B27)</f>
        <v>508.0639885790896</v>
      </c>
      <c r="N27" s="46">
        <f>IF('RAW ICP-MS Data'!M23&lt;'ICP-MS Total Metals'!N$13,'ICP-MS Total Metals'!N$17,'RAW ICP-MS Data'!M23*50/'ICP-MS Total Metals'!$B27)</f>
        <v>5590.6960271688667</v>
      </c>
      <c r="O27" s="46">
        <f>IF('RAW ICP-MS Data'!N23&lt;'ICP-MS Total Metals'!O$13,'ICP-MS Total Metals'!O$17,'RAW ICP-MS Data'!N23*50/'ICP-MS Total Metals'!$B27)</f>
        <v>19979.574923563425</v>
      </c>
      <c r="P27" s="46">
        <f>IF('RAW ICP-MS Data'!O23&lt;'ICP-MS Total Metals'!P$13,'ICP-MS Total Metals'!P$17,'RAW ICP-MS Data'!O23*50/'ICP-MS Total Metals'!$B27)</f>
        <v>2212.2507889557342</v>
      </c>
      <c r="Q27" s="46">
        <f>IF('RAW ICP-MS Data'!P23&lt;'ICP-MS Total Metals'!Q$13,'ICP-MS Total Metals'!Q$17,'RAW ICP-MS Data'!P23*50/'ICP-MS Total Metals'!$B27)</f>
        <v>9249.4247725945461</v>
      </c>
      <c r="R27" s="46">
        <f>IF('RAW ICP-MS Data'!Q23&lt;'ICP-MS Total Metals'!R$13,'ICP-MS Total Metals'!R$17,'RAW ICP-MS Data'!Q23*50/'ICP-MS Total Metals'!$B27)</f>
        <v>2200.5158110344637</v>
      </c>
      <c r="S27" s="46">
        <f>IF('RAW ICP-MS Data'!R23&lt;'ICP-MS Total Metals'!S$13,'ICP-MS Total Metals'!S$17,'RAW ICP-MS Data'!R23*50/'ICP-MS Total Metals'!$B27)</f>
        <v>490.75971274962808</v>
      </c>
      <c r="T27" s="46">
        <f>IF('RAW ICP-MS Data'!S23&lt;'ICP-MS Total Metals'!T$13,'ICP-MS Total Metals'!T$17,'RAW ICP-MS Data'!S23*50/'ICP-MS Total Metals'!$B27)</f>
        <v>2511.8643709128842</v>
      </c>
      <c r="U27" s="46">
        <f>IF('RAW ICP-MS Data'!T23&lt;'ICP-MS Total Metals'!U$13,'ICP-MS Total Metals'!U$17,'RAW ICP-MS Data'!T23*50/'ICP-MS Total Metals'!$B27)</f>
        <v>317.04567347646389</v>
      </c>
      <c r="V27" s="46">
        <f>IF('RAW ICP-MS Data'!U23&lt;'ICP-MS Total Metals'!V$13,'ICP-MS Total Metals'!V$17,'RAW ICP-MS Data'!U23*50/'ICP-MS Total Metals'!$B27)</f>
        <v>2108.4621185457127</v>
      </c>
      <c r="W27" s="46">
        <f>IF('RAW ICP-MS Data'!V23&lt;'ICP-MS Total Metals'!W$13,'ICP-MS Total Metals'!W$17,'RAW ICP-MS Data'!V23*50/'ICP-MS Total Metals'!$B27)</f>
        <v>434.4277208877553</v>
      </c>
      <c r="X27" s="46">
        <f>IF('RAW ICP-MS Data'!W23&lt;'ICP-MS Total Metals'!X$13,'ICP-MS Total Metals'!X$17,'RAW ICP-MS Data'!W23*50/'ICP-MS Total Metals'!$B27)</f>
        <v>1303.4607469482251</v>
      </c>
      <c r="Y27" s="46">
        <f>IF('RAW ICP-MS Data'!X23&lt;'ICP-MS Total Metals'!Y$13,'ICP-MS Total Metals'!Y$17,'RAW ICP-MS Data'!X23*50/'ICP-MS Total Metals'!$B27)</f>
        <v>174.83568104393302</v>
      </c>
      <c r="Z27" s="46">
        <f>IF('RAW ICP-MS Data'!Y23&lt;'ICP-MS Total Metals'!Z$13,'ICP-MS Total Metals'!Z$17,'RAW ICP-MS Data'!Y23*50/'ICP-MS Total Metals'!$B27)</f>
        <v>1053.9618360106404</v>
      </c>
      <c r="AA27" s="46">
        <f>IF('RAW ICP-MS Data'!Z23&lt;'ICP-MS Total Metals'!AA$13,'ICP-MS Total Metals'!AA$17,'RAW ICP-MS Data'!Z23*50/'ICP-MS Total Metals'!$B27)</f>
        <v>158.84745413011868</v>
      </c>
      <c r="AB27" s="46">
        <f>IF('RAW ICP-MS Data'!AA23&lt;'ICP-MS Total Metals'!AB$13,'ICP-MS Total Metals'!AB$17,'RAW ICP-MS Data'!AA23*50/'ICP-MS Total Metals'!$B27)</f>
        <v>122.24502242184285</v>
      </c>
      <c r="AC27" s="46">
        <f>IF('RAW ICP-MS Data'!AB23&lt;'ICP-MS Total Metals'!AC$13,'ICP-MS Total Metals'!AC$17,'RAW ICP-MS Data'!AB23*50/'ICP-MS Total Metals'!$B27)</f>
        <v>9.8841528758797796</v>
      </c>
      <c r="AD27" s="46">
        <f>IF('RAW ICP-MS Data'!AC23&lt;'ICP-MS Total Metals'!AD$13,'ICP-MS Total Metals'!AD$17,'RAW ICP-MS Data'!AC23*50/'ICP-MS Total Metals'!$B27)</f>
        <v>43.201108930300265</v>
      </c>
      <c r="AE27" s="46">
        <f>IF('RAW ICP-MS Data'!AD23&lt;'ICP-MS Total Metals'!AE$13,'ICP-MS Total Metals'!AE$17,'RAW ICP-MS Data'!AD23*50/'ICP-MS Total Metals'!$B27)</f>
        <v>544.95540078551358</v>
      </c>
      <c r="AF27" s="46">
        <f>IF('RAW ICP-MS Data'!AE23&lt;'ICP-MS Total Metals'!AF$13,'ICP-MS Total Metals'!AF$17,'RAW ICP-MS Data'!AE23*50/'ICP-MS Total Metals'!$B27)</f>
        <v>1707.8302640813026</v>
      </c>
      <c r="AG27" s="46">
        <f>IF('RAW ICP-MS Data'!AF23&lt;'ICP-MS Total Metals'!AG$13,'ICP-MS Total Metals'!AG$17,'RAW ICP-MS Data'!AF23*50/'ICP-MS Total Metals'!$B27)</f>
        <v>1003.1057273706923</v>
      </c>
      <c r="AH27" s="46">
        <f>IF('RAW ICP-MS Data'!AG23&lt;'ICP-MS Total Metals'!AH$13,'ICP-MS Total Metals'!AH$17,'RAW ICP-MS Data'!AG23*50/'ICP-MS Total Metals'!$B27)</f>
        <v>0</v>
      </c>
      <c r="AI27" s="46">
        <f>IF('RAW ICP-MS Data'!AH23&lt;'ICP-MS Total Metals'!AI$13,'ICP-MS Total Metals'!AI$17,'RAW ICP-MS Data'!AH23*50/'ICP-MS Total Metals'!$B27)</f>
        <v>95.009373678328586</v>
      </c>
      <c r="AJ27" s="46">
        <f>IF('RAW ICP-MS Data'!AI23&lt;'ICP-MS Total Metals'!AJ$13,'ICP-MS Total Metals'!AJ$17,'RAW ICP-MS Data'!AI23*50/'ICP-MS Total Metals'!$B27)</f>
        <v>845.79141143884431</v>
      </c>
      <c r="AK27" s="46">
        <f>IF('RAW ICP-MS Data'!AJ23&lt;'ICP-MS Total Metals'!AK$13,'ICP-MS Total Metals'!AK$17,'RAW ICP-MS Data'!AJ23*50/'ICP-MS Total Metals'!$B27)</f>
        <v>0</v>
      </c>
      <c r="AL27" s="46">
        <f>IF('RAW ICP-MS Data'!AK23&lt;'ICP-MS Total Metals'!AL$13,'ICP-MS Total Metals'!AL$17,'RAW ICP-MS Data'!AK23*50/'ICP-MS Total Metals'!$B27)</f>
        <v>2477.8362804402873</v>
      </c>
      <c r="AM27" s="46">
        <f>IF('RAW ICP-MS Data'!AL23&lt;'ICP-MS Total Metals'!AM$13,'ICP-MS Total Metals'!AM$17,'RAW ICP-MS Data'!AL23*50/'ICP-MS Total Metals'!$B27)</f>
        <v>0</v>
      </c>
      <c r="AN27" s="46">
        <f>IF('RAW ICP-MS Data'!AM23&lt;'ICP-MS Total Metals'!AN$13,'ICP-MS Total Metals'!AN$17,'RAW ICP-MS Data'!AM23*50/'ICP-MS Total Metals'!$B27)</f>
        <v>0</v>
      </c>
    </row>
    <row r="28" spans="1:40" s="22" customFormat="1" ht="15.75" thickBot="1" x14ac:dyDescent="0.25">
      <c r="A28" s="51">
        <f>'Raw ICP-OES Data'!A24</f>
        <v>0</v>
      </c>
      <c r="B28" s="108">
        <v>0.49959999999999999</v>
      </c>
      <c r="C28" s="46">
        <f>IF('RAW ICP-MS Data'!B24&lt;'ICP-MS Total Metals'!C$13,'ICP-MS Total Metals'!C$17,'RAW ICP-MS Data'!B24*50/'ICP-MS Total Metals'!$B28)</f>
        <v>1646.3510987352784</v>
      </c>
      <c r="D28" s="46">
        <f>IF('RAW ICP-MS Data'!C24&lt;'ICP-MS Total Metals'!D$13,'ICP-MS Total Metals'!D$17,'RAW ICP-MS Data'!C24*50/'ICP-MS Total Metals'!$B28)</f>
        <v>963.36220123881697</v>
      </c>
      <c r="E28" s="46">
        <f>IF('RAW ICP-MS Data'!D24&lt;'ICP-MS Total Metals'!E$13,'ICP-MS Total Metals'!E$17,'RAW ICP-MS Data'!D24*50/'ICP-MS Total Metals'!$B28)</f>
        <v>2095.9470389218577</v>
      </c>
      <c r="F28" s="46">
        <f>IF('RAW ICP-MS Data'!E24&lt;'ICP-MS Total Metals'!F$13,'ICP-MS Total Metals'!F$17,'RAW ICP-MS Data'!E24*50/'ICP-MS Total Metals'!$B28)</f>
        <v>2925.499605885248</v>
      </c>
      <c r="G28" s="46">
        <f>IF('RAW ICP-MS Data'!F24&lt;'ICP-MS Total Metals'!G$13,'ICP-MS Total Metals'!G$17,'RAW ICP-MS Data'!F24*50/'ICP-MS Total Metals'!$B28)</f>
        <v>10960.605193906926</v>
      </c>
      <c r="H28" s="46">
        <f>IF('RAW ICP-MS Data'!G24&lt;'ICP-MS Total Metals'!H$13,'ICP-MS Total Metals'!H$17,'RAW ICP-MS Data'!G24*50/'ICP-MS Total Metals'!$B28)</f>
        <v>2571.0855668513609</v>
      </c>
      <c r="I28" s="46">
        <f>IF('RAW ICP-MS Data'!H24&lt;'ICP-MS Total Metals'!I$13,'ICP-MS Total Metals'!I$17,'RAW ICP-MS Data'!H24*50/'ICP-MS Total Metals'!$B28)</f>
        <v>56.6995746053746</v>
      </c>
      <c r="J28" s="46">
        <f>IF('RAW ICP-MS Data'!I24&lt;'ICP-MS Total Metals'!J$13,'ICP-MS Total Metals'!J$17,'RAW ICP-MS Data'!I24*50/'ICP-MS Total Metals'!$B28)</f>
        <v>609.57413755975472</v>
      </c>
      <c r="K28" s="46">
        <f>IF('RAW ICP-MS Data'!J24&lt;'ICP-MS Total Metals'!K$13,'ICP-MS Total Metals'!K$17,'RAW ICP-MS Data'!J24*50/'ICP-MS Total Metals'!$B28)</f>
        <v>489537.93763872603</v>
      </c>
      <c r="L28" s="46">
        <f>IF('RAW ICP-MS Data'!K24&lt;'ICP-MS Total Metals'!L$13,'ICP-MS Total Metals'!L$17,'RAW ICP-MS Data'!K24*50/'ICP-MS Total Metals'!$B28)</f>
        <v>39.874953319646622</v>
      </c>
      <c r="M28" s="46">
        <f>IF('RAW ICP-MS Data'!L24&lt;'ICP-MS Total Metals'!M$13,'ICP-MS Total Metals'!M$17,'RAW ICP-MS Data'!L24*50/'ICP-MS Total Metals'!$B28)</f>
        <v>505.12212560164335</v>
      </c>
      <c r="N28" s="46">
        <f>IF('RAW ICP-MS Data'!M24&lt;'ICP-MS Total Metals'!N$13,'ICP-MS Total Metals'!N$17,'RAW ICP-MS Data'!M24*50/'ICP-MS Total Metals'!$B28)</f>
        <v>5617.5659740123001</v>
      </c>
      <c r="O28" s="46">
        <f>IF('RAW ICP-MS Data'!N24&lt;'ICP-MS Total Metals'!O$13,'ICP-MS Total Metals'!O$17,'RAW ICP-MS Data'!N24*50/'ICP-MS Total Metals'!$B28)</f>
        <v>20259.828325536731</v>
      </c>
      <c r="P28" s="46">
        <f>IF('RAW ICP-MS Data'!O24&lt;'ICP-MS Total Metals'!P$13,'ICP-MS Total Metals'!P$17,'RAW ICP-MS Data'!O24*50/'ICP-MS Total Metals'!$B28)</f>
        <v>2272.5220576949459</v>
      </c>
      <c r="Q28" s="46">
        <f>IF('RAW ICP-MS Data'!P24&lt;'ICP-MS Total Metals'!Q$13,'ICP-MS Total Metals'!Q$17,'RAW ICP-MS Data'!P24*50/'ICP-MS Total Metals'!$B28)</f>
        <v>9524.8594703493309</v>
      </c>
      <c r="R28" s="46">
        <f>IF('RAW ICP-MS Data'!Q24&lt;'ICP-MS Total Metals'!R$13,'ICP-MS Total Metals'!R$17,'RAW ICP-MS Data'!Q24*50/'ICP-MS Total Metals'!$B28)</f>
        <v>2211.4323310114391</v>
      </c>
      <c r="S28" s="46">
        <f>IF('RAW ICP-MS Data'!R24&lt;'ICP-MS Total Metals'!S$13,'ICP-MS Total Metals'!S$17,'RAW ICP-MS Data'!R24*50/'ICP-MS Total Metals'!$B28)</f>
        <v>494.37217284037638</v>
      </c>
      <c r="T28" s="46">
        <f>IF('RAW ICP-MS Data'!S24&lt;'ICP-MS Total Metals'!T$13,'ICP-MS Total Metals'!T$17,'RAW ICP-MS Data'!S24*50/'ICP-MS Total Metals'!$B28)</f>
        <v>2502.491702615072</v>
      </c>
      <c r="U28" s="46">
        <f>IF('RAW ICP-MS Data'!T24&lt;'ICP-MS Total Metals'!U$13,'ICP-MS Total Metals'!U$17,'RAW ICP-MS Data'!T24*50/'ICP-MS Total Metals'!$B28)</f>
        <v>318.20873758729084</v>
      </c>
      <c r="V28" s="46">
        <f>IF('RAW ICP-MS Data'!U24&lt;'ICP-MS Total Metals'!V$13,'ICP-MS Total Metals'!V$17,'RAW ICP-MS Data'!U24*50/'ICP-MS Total Metals'!$B28)</f>
        <v>2074.5512095045833</v>
      </c>
      <c r="W28" s="46">
        <f>IF('RAW ICP-MS Data'!V24&lt;'ICP-MS Total Metals'!W$13,'ICP-MS Total Metals'!W$17,'RAW ICP-MS Data'!V24*50/'ICP-MS Total Metals'!$B28)</f>
        <v>428.67809428062856</v>
      </c>
      <c r="X28" s="46">
        <f>IF('RAW ICP-MS Data'!W24&lt;'ICP-MS Total Metals'!X$13,'ICP-MS Total Metals'!X$17,'RAW ICP-MS Data'!W24*50/'ICP-MS Total Metals'!$B28)</f>
        <v>1214.2668484078863</v>
      </c>
      <c r="Y28" s="46">
        <f>IF('RAW ICP-MS Data'!X24&lt;'ICP-MS Total Metals'!Y$13,'ICP-MS Total Metals'!Y$17,'RAW ICP-MS Data'!X24*50/'ICP-MS Total Metals'!$B28)</f>
        <v>165.01778644879403</v>
      </c>
      <c r="Z28" s="46">
        <f>IF('RAW ICP-MS Data'!Y24&lt;'ICP-MS Total Metals'!Z$13,'ICP-MS Total Metals'!Z$17,'RAW ICP-MS Data'!Y24*50/'ICP-MS Total Metals'!$B28)</f>
        <v>1016.3197868732987</v>
      </c>
      <c r="AA28" s="46">
        <f>IF('RAW ICP-MS Data'!Z24&lt;'ICP-MS Total Metals'!AA$13,'ICP-MS Total Metals'!AA$17,'RAW ICP-MS Data'!Z24*50/'ICP-MS Total Metals'!$B28)</f>
        <v>143.76415061938252</v>
      </c>
      <c r="AB28" s="46">
        <f>IF('RAW ICP-MS Data'!AA24&lt;'ICP-MS Total Metals'!AB$13,'ICP-MS Total Metals'!AB$17,'RAW ICP-MS Data'!AA24*50/'ICP-MS Total Metals'!$B28)</f>
        <v>121.78670913372598</v>
      </c>
      <c r="AC28" s="46">
        <f>IF('RAW ICP-MS Data'!AB24&lt;'ICP-MS Total Metals'!AC$13,'ICP-MS Total Metals'!AC$17,'RAW ICP-MS Data'!AB24*50/'ICP-MS Total Metals'!$B28)</f>
        <v>9.2423217950560748</v>
      </c>
      <c r="AD28" s="46">
        <f>IF('RAW ICP-MS Data'!AC24&lt;'ICP-MS Total Metals'!AD$13,'ICP-MS Total Metals'!AD$17,'RAW ICP-MS Data'!AC24*50/'ICP-MS Total Metals'!$B28)</f>
        <v>46.83823820345286</v>
      </c>
      <c r="AE28" s="46">
        <f>IF('RAW ICP-MS Data'!AD24&lt;'ICP-MS Total Metals'!AE$13,'ICP-MS Total Metals'!AE$17,'RAW ICP-MS Data'!AD24*50/'ICP-MS Total Metals'!$B28)</f>
        <v>554.2204465072108</v>
      </c>
      <c r="AF28" s="46">
        <f>IF('RAW ICP-MS Data'!AE24&lt;'ICP-MS Total Metals'!AF$13,'ICP-MS Total Metals'!AF$17,'RAW ICP-MS Data'!AE24*50/'ICP-MS Total Metals'!$B28)</f>
        <v>1746.8782143340877</v>
      </c>
      <c r="AG28" s="46">
        <f>IF('RAW ICP-MS Data'!AF24&lt;'ICP-MS Total Metals'!AG$13,'ICP-MS Total Metals'!AG$17,'RAW ICP-MS Data'!AF24*50/'ICP-MS Total Metals'!$B28)</f>
        <v>1094.250408692134</v>
      </c>
      <c r="AH28" s="46">
        <f>IF('RAW ICP-MS Data'!AG24&lt;'ICP-MS Total Metals'!AH$13,'ICP-MS Total Metals'!AH$17,'RAW ICP-MS Data'!AG24*50/'ICP-MS Total Metals'!$B28)</f>
        <v>0</v>
      </c>
      <c r="AI28" s="46">
        <f>IF('RAW ICP-MS Data'!AH24&lt;'ICP-MS Total Metals'!AI$13,'ICP-MS Total Metals'!AI$17,'RAW ICP-MS Data'!AH24*50/'ICP-MS Total Metals'!$B28)</f>
        <v>115.41795673905123</v>
      </c>
      <c r="AJ28" s="46">
        <f>IF('RAW ICP-MS Data'!AI24&lt;'ICP-MS Total Metals'!AJ$13,'ICP-MS Total Metals'!AJ$17,'RAW ICP-MS Data'!AI24*50/'ICP-MS Total Metals'!$B28)</f>
        <v>989.81185513434139</v>
      </c>
      <c r="AK28" s="46">
        <f>IF('RAW ICP-MS Data'!AJ24&lt;'ICP-MS Total Metals'!AK$13,'ICP-MS Total Metals'!AK$17,'RAW ICP-MS Data'!AJ24*50/'ICP-MS Total Metals'!$B28)</f>
        <v>0</v>
      </c>
      <c r="AL28" s="46">
        <f>IF('RAW ICP-MS Data'!AK24&lt;'ICP-MS Total Metals'!AL$13,'ICP-MS Total Metals'!AL$17,'RAW ICP-MS Data'!AK24*50/'ICP-MS Total Metals'!$B28)</f>
        <v>2408.1321312524524</v>
      </c>
      <c r="AM28" s="46">
        <f>IF('RAW ICP-MS Data'!AL24&lt;'ICP-MS Total Metals'!AM$13,'ICP-MS Total Metals'!AM$17,'RAW ICP-MS Data'!AL24*50/'ICP-MS Total Metals'!$B28)</f>
        <v>0</v>
      </c>
      <c r="AN28" s="46">
        <f>IF('RAW ICP-MS Data'!AM24&lt;'ICP-MS Total Metals'!AN$13,'ICP-MS Total Metals'!AN$17,'RAW ICP-MS Data'!AM24*50/'ICP-MS Total Metals'!$B28)</f>
        <v>0</v>
      </c>
    </row>
    <row r="29" spans="1:40" s="22" customFormat="1" ht="15.75" thickBot="1" x14ac:dyDescent="0.25">
      <c r="A29" s="51">
        <f>'Raw ICP-OES Data'!A25</f>
        <v>0</v>
      </c>
      <c r="B29" s="108">
        <v>0.49919999999999998</v>
      </c>
      <c r="C29" s="46">
        <f>IF('RAW ICP-MS Data'!B25&lt;'ICP-MS Total Metals'!C$13,'ICP-MS Total Metals'!C$17,'RAW ICP-MS Data'!B25*50/'ICP-MS Total Metals'!$B29)</f>
        <v>1569.2118656891928</v>
      </c>
      <c r="D29" s="46">
        <f>IF('RAW ICP-MS Data'!C25&lt;'ICP-MS Total Metals'!D$13,'ICP-MS Total Metals'!D$17,'RAW ICP-MS Data'!C25*50/'ICP-MS Total Metals'!$B29)</f>
        <v>739.38879870440405</v>
      </c>
      <c r="E29" s="46">
        <f>IF('RAW ICP-MS Data'!D25&lt;'ICP-MS Total Metals'!E$13,'ICP-MS Total Metals'!E$17,'RAW ICP-MS Data'!D25*50/'ICP-MS Total Metals'!$B29)</f>
        <v>1954.3758880415867</v>
      </c>
      <c r="F29" s="46">
        <f>IF('RAW ICP-MS Data'!E25&lt;'ICP-MS Total Metals'!F$13,'ICP-MS Total Metals'!F$17,'RAW ICP-MS Data'!E25*50/'ICP-MS Total Metals'!$B29)</f>
        <v>2215.571036032713</v>
      </c>
      <c r="G29" s="46">
        <f>IF('RAW ICP-MS Data'!F25&lt;'ICP-MS Total Metals'!G$13,'ICP-MS Total Metals'!G$17,'RAW ICP-MS Data'!F25*50/'ICP-MS Total Metals'!$B29)</f>
        <v>10179.404370548576</v>
      </c>
      <c r="H29" s="46">
        <f>IF('RAW ICP-MS Data'!G25&lt;'ICP-MS Total Metals'!H$13,'ICP-MS Total Metals'!H$17,'RAW ICP-MS Data'!G25*50/'ICP-MS Total Metals'!$B29)</f>
        <v>2459.9129517536262</v>
      </c>
      <c r="I29" s="46">
        <f>IF('RAW ICP-MS Data'!H25&lt;'ICP-MS Total Metals'!I$13,'ICP-MS Total Metals'!I$17,'RAW ICP-MS Data'!H25*50/'ICP-MS Total Metals'!$B29)</f>
        <v>83.031507809004509</v>
      </c>
      <c r="J29" s="46">
        <f>IF('RAW ICP-MS Data'!I25&lt;'ICP-MS Total Metals'!J$13,'ICP-MS Total Metals'!J$17,'RAW ICP-MS Data'!I25*50/'ICP-MS Total Metals'!$B29)</f>
        <v>571.26438298351172</v>
      </c>
      <c r="K29" s="46">
        <f>IF('RAW ICP-MS Data'!J25&lt;'ICP-MS Total Metals'!K$13,'ICP-MS Total Metals'!K$17,'RAW ICP-MS Data'!J25*50/'ICP-MS Total Metals'!$B29)</f>
        <v>116121.29050244391</v>
      </c>
      <c r="L29" s="46">
        <f>IF('RAW ICP-MS Data'!K25&lt;'ICP-MS Total Metals'!L$13,'ICP-MS Total Metals'!L$17,'RAW ICP-MS Data'!K25*50/'ICP-MS Total Metals'!$B29)</f>
        <v>39.819536979541972</v>
      </c>
      <c r="M29" s="46">
        <f>IF('RAW ICP-MS Data'!L25&lt;'ICP-MS Total Metals'!M$13,'ICP-MS Total Metals'!M$17,'RAW ICP-MS Data'!L25*50/'ICP-MS Total Metals'!$B29)</f>
        <v>410.32521158124803</v>
      </c>
      <c r="N29" s="46">
        <f>IF('RAW ICP-MS Data'!M25&lt;'ICP-MS Total Metals'!N$13,'ICP-MS Total Metals'!N$17,'RAW ICP-MS Data'!M25*50/'ICP-MS Total Metals'!$B29)</f>
        <v>5208.6017488460739</v>
      </c>
      <c r="O29" s="46">
        <f>IF('RAW ICP-MS Data'!N25&lt;'ICP-MS Total Metals'!O$13,'ICP-MS Total Metals'!O$17,'RAW ICP-MS Data'!N25*50/'ICP-MS Total Metals'!$B29)</f>
        <v>19109.378442266127</v>
      </c>
      <c r="P29" s="46">
        <f>IF('RAW ICP-MS Data'!O25&lt;'ICP-MS Total Metals'!P$13,'ICP-MS Total Metals'!P$17,'RAW ICP-MS Data'!O25*50/'ICP-MS Total Metals'!$B29)</f>
        <v>2058.9704374982671</v>
      </c>
      <c r="Q29" s="46">
        <f>IF('RAW ICP-MS Data'!P25&lt;'ICP-MS Total Metals'!Q$13,'ICP-MS Total Metals'!Q$17,'RAW ICP-MS Data'!P25*50/'ICP-MS Total Metals'!$B29)</f>
        <v>8628.9869887391942</v>
      </c>
      <c r="R29" s="46">
        <f>IF('RAW ICP-MS Data'!Q25&lt;'ICP-MS Total Metals'!R$13,'ICP-MS Total Metals'!R$17,'RAW ICP-MS Data'!Q25*50/'ICP-MS Total Metals'!$B29)</f>
        <v>1965.0547612451926</v>
      </c>
      <c r="S29" s="46">
        <f>IF('RAW ICP-MS Data'!R25&lt;'ICP-MS Total Metals'!S$13,'ICP-MS Total Metals'!S$17,'RAW ICP-MS Data'!R25*50/'ICP-MS Total Metals'!$B29)</f>
        <v>441.0715448663131</v>
      </c>
      <c r="T29" s="46">
        <f>IF('RAW ICP-MS Data'!S25&lt;'ICP-MS Total Metals'!T$13,'ICP-MS Total Metals'!T$17,'RAW ICP-MS Data'!S25*50/'ICP-MS Total Metals'!$B29)</f>
        <v>2293.9382963242292</v>
      </c>
      <c r="U29" s="46">
        <f>IF('RAW ICP-MS Data'!T25&lt;'ICP-MS Total Metals'!U$13,'ICP-MS Total Metals'!U$17,'RAW ICP-MS Data'!T25*50/'ICP-MS Total Metals'!$B29)</f>
        <v>280.78472961308398</v>
      </c>
      <c r="V29" s="46">
        <f>IF('RAW ICP-MS Data'!U25&lt;'ICP-MS Total Metals'!V$13,'ICP-MS Total Metals'!V$17,'RAW ICP-MS Data'!U25*50/'ICP-MS Total Metals'!$B29)</f>
        <v>1923.2117278467047</v>
      </c>
      <c r="W29" s="46">
        <f>IF('RAW ICP-MS Data'!V25&lt;'ICP-MS Total Metals'!W$13,'ICP-MS Total Metals'!W$17,'RAW ICP-MS Data'!V25*50/'ICP-MS Total Metals'!$B29)</f>
        <v>399.91120418902744</v>
      </c>
      <c r="X29" s="46">
        <f>IF('RAW ICP-MS Data'!W25&lt;'ICP-MS Total Metals'!X$13,'ICP-MS Total Metals'!X$17,'RAW ICP-MS Data'!W25*50/'ICP-MS Total Metals'!$B29)</f>
        <v>1165.6004649947417</v>
      </c>
      <c r="Y29" s="46">
        <f>IF('RAW ICP-MS Data'!X25&lt;'ICP-MS Total Metals'!Y$13,'ICP-MS Total Metals'!Y$17,'RAW ICP-MS Data'!X25*50/'ICP-MS Total Metals'!$B29)</f>
        <v>159.44857899714847</v>
      </c>
      <c r="Z29" s="46">
        <f>IF('RAW ICP-MS Data'!Y25&lt;'ICP-MS Total Metals'!Z$13,'ICP-MS Total Metals'!Z$17,'RAW ICP-MS Data'!Y25*50/'ICP-MS Total Metals'!$B29)</f>
        <v>970.8889570380029</v>
      </c>
      <c r="AA29" s="46">
        <f>IF('RAW ICP-MS Data'!Z25&lt;'ICP-MS Total Metals'!AA$13,'ICP-MS Total Metals'!AA$17,'RAW ICP-MS Data'!Z25*50/'ICP-MS Total Metals'!$B29)</f>
        <v>141.74691521591748</v>
      </c>
      <c r="AB29" s="46">
        <f>IF('RAW ICP-MS Data'!AA25&lt;'ICP-MS Total Metals'!AB$13,'ICP-MS Total Metals'!AB$17,'RAW ICP-MS Data'!AA25*50/'ICP-MS Total Metals'!$B29)</f>
        <v>124.61112885610277</v>
      </c>
      <c r="AC29" s="46">
        <f>IF('RAW ICP-MS Data'!AB25&lt;'ICP-MS Total Metals'!AC$13,'ICP-MS Total Metals'!AC$17,'RAW ICP-MS Data'!AB25*50/'ICP-MS Total Metals'!$B29)</f>
        <v>8.1263828605268937</v>
      </c>
      <c r="AD29" s="46">
        <f>IF('RAW ICP-MS Data'!AC25&lt;'ICP-MS Total Metals'!AD$13,'ICP-MS Total Metals'!AD$17,'RAW ICP-MS Data'!AC25*50/'ICP-MS Total Metals'!$B29)</f>
        <v>32.413906194295478</v>
      </c>
      <c r="AE29" s="46">
        <f>IF('RAW ICP-MS Data'!AD25&lt;'ICP-MS Total Metals'!AE$13,'ICP-MS Total Metals'!AE$17,'RAW ICP-MS Data'!AD25*50/'ICP-MS Total Metals'!$B29)</f>
        <v>553.28843496443608</v>
      </c>
      <c r="AF29" s="46">
        <f>IF('RAW ICP-MS Data'!AE25&lt;'ICP-MS Total Metals'!AF$13,'ICP-MS Total Metals'!AF$17,'RAW ICP-MS Data'!AE25*50/'ICP-MS Total Metals'!$B29)</f>
        <v>1591.6662096362581</v>
      </c>
      <c r="AG29" s="46">
        <f>IF('RAW ICP-MS Data'!AF25&lt;'ICP-MS Total Metals'!AG$13,'ICP-MS Total Metals'!AG$17,'RAW ICP-MS Data'!AF25*50/'ICP-MS Total Metals'!$B29)</f>
        <v>884.01324020407253</v>
      </c>
      <c r="AH29" s="46">
        <f>IF('RAW ICP-MS Data'!AG25&lt;'ICP-MS Total Metals'!AH$13,'ICP-MS Total Metals'!AH$17,'RAW ICP-MS Data'!AG25*50/'ICP-MS Total Metals'!$B29)</f>
        <v>0</v>
      </c>
      <c r="AI29" s="46">
        <f>IF('RAW ICP-MS Data'!AH25&lt;'ICP-MS Total Metals'!AI$13,'ICP-MS Total Metals'!AI$17,'RAW ICP-MS Data'!AH25*50/'ICP-MS Total Metals'!$B29)</f>
        <v>65.622022072217547</v>
      </c>
      <c r="AJ29" s="46">
        <f>IF('RAW ICP-MS Data'!AI25&lt;'ICP-MS Total Metals'!AJ$13,'ICP-MS Total Metals'!AJ$17,'RAW ICP-MS Data'!AI25*50/'ICP-MS Total Metals'!$B29)</f>
        <v>677.8518670282341</v>
      </c>
      <c r="AK29" s="46">
        <f>IF('RAW ICP-MS Data'!AJ25&lt;'ICP-MS Total Metals'!AK$13,'ICP-MS Total Metals'!AK$17,'RAW ICP-MS Data'!AJ25*50/'ICP-MS Total Metals'!$B29)</f>
        <v>0</v>
      </c>
      <c r="AL29" s="46">
        <f>IF('RAW ICP-MS Data'!AK25&lt;'ICP-MS Total Metals'!AL$13,'ICP-MS Total Metals'!AL$17,'RAW ICP-MS Data'!AK25*50/'ICP-MS Total Metals'!$B29)</f>
        <v>2646.1169154910758</v>
      </c>
      <c r="AM29" s="46">
        <f>IF('RAW ICP-MS Data'!AL25&lt;'ICP-MS Total Metals'!AM$13,'ICP-MS Total Metals'!AM$17,'RAW ICP-MS Data'!AL25*50/'ICP-MS Total Metals'!$B29)</f>
        <v>0</v>
      </c>
      <c r="AN29" s="46">
        <f>IF('RAW ICP-MS Data'!AM25&lt;'ICP-MS Total Metals'!AN$13,'ICP-MS Total Metals'!AN$17,'RAW ICP-MS Data'!AM25*50/'ICP-MS Total Metals'!$B29)</f>
        <v>0</v>
      </c>
    </row>
    <row r="30" spans="1:40" s="22" customFormat="1" ht="15.75" thickBot="1" x14ac:dyDescent="0.25">
      <c r="A30" s="51">
        <f>'Raw ICP-OES Data'!A26</f>
        <v>0</v>
      </c>
      <c r="B30" s="108">
        <v>0.50090000000000001</v>
      </c>
      <c r="C30" s="46">
        <f>IF('RAW ICP-MS Data'!B26&lt;'ICP-MS Total Metals'!C$13,'ICP-MS Total Metals'!C$17,'RAW ICP-MS Data'!B26*50/'ICP-MS Total Metals'!$B30)</f>
        <v>1415.5177824155619</v>
      </c>
      <c r="D30" s="46">
        <f>IF('RAW ICP-MS Data'!C26&lt;'ICP-MS Total Metals'!D$13,'ICP-MS Total Metals'!D$17,'RAW ICP-MS Data'!C26*50/'ICP-MS Total Metals'!$B30)</f>
        <v>589.61945776173786</v>
      </c>
      <c r="E30" s="46">
        <f>IF('RAW ICP-MS Data'!D26&lt;'ICP-MS Total Metals'!E$13,'ICP-MS Total Metals'!E$17,'RAW ICP-MS Data'!D26*50/'ICP-MS Total Metals'!$B30)</f>
        <v>1711.7180148677678</v>
      </c>
      <c r="F30" s="46">
        <f>IF('RAW ICP-MS Data'!E26&lt;'ICP-MS Total Metals'!F$13,'ICP-MS Total Metals'!F$17,'RAW ICP-MS Data'!E26*50/'ICP-MS Total Metals'!$B30)</f>
        <v>1672.7271256492813</v>
      </c>
      <c r="G30" s="46">
        <f>IF('RAW ICP-MS Data'!F26&lt;'ICP-MS Total Metals'!G$13,'ICP-MS Total Metals'!G$17,'RAW ICP-MS Data'!F26*50/'ICP-MS Total Metals'!$B30)</f>
        <v>10442.47705249351</v>
      </c>
      <c r="H30" s="46">
        <f>IF('RAW ICP-MS Data'!G26&lt;'ICP-MS Total Metals'!H$13,'ICP-MS Total Metals'!H$17,'RAW ICP-MS Data'!G26*50/'ICP-MS Total Metals'!$B30)</f>
        <v>2284.7959567171292</v>
      </c>
      <c r="I30" s="46">
        <f>IF('RAW ICP-MS Data'!H26&lt;'ICP-MS Total Metals'!I$13,'ICP-MS Total Metals'!I$17,'RAW ICP-MS Data'!H26*50/'ICP-MS Total Metals'!$B30)</f>
        <v>57.299587764203132</v>
      </c>
      <c r="J30" s="46">
        <f>IF('RAW ICP-MS Data'!I26&lt;'ICP-MS Total Metals'!J$13,'ICP-MS Total Metals'!J$17,'RAW ICP-MS Data'!I26*50/'ICP-MS Total Metals'!$B30)</f>
        <v>529.63598547553102</v>
      </c>
      <c r="K30" s="46">
        <f>IF('RAW ICP-MS Data'!J26&lt;'ICP-MS Total Metals'!K$13,'ICP-MS Total Metals'!K$17,'RAW ICP-MS Data'!J26*50/'ICP-MS Total Metals'!$B30)</f>
        <v>1367548.3379231682</v>
      </c>
      <c r="L30" s="46">
        <f>IF('RAW ICP-MS Data'!K26&lt;'ICP-MS Total Metals'!L$13,'ICP-MS Total Metals'!L$17,'RAW ICP-MS Data'!K26*50/'ICP-MS Total Metals'!$B30)</f>
        <v>39.951743097865943</v>
      </c>
      <c r="M30" s="46">
        <f>IF('RAW ICP-MS Data'!L26&lt;'ICP-MS Total Metals'!M$13,'ICP-MS Total Metals'!M$17,'RAW ICP-MS Data'!L26*50/'ICP-MS Total Metals'!$B30)</f>
        <v>354.68498147681572</v>
      </c>
      <c r="N30" s="46">
        <f>IF('RAW ICP-MS Data'!M26&lt;'ICP-MS Total Metals'!N$13,'ICP-MS Total Metals'!N$17,'RAW ICP-MS Data'!M26*50/'ICP-MS Total Metals'!$B30)</f>
        <v>5395.377856215272</v>
      </c>
      <c r="O30" s="46">
        <f>IF('RAW ICP-MS Data'!N26&lt;'ICP-MS Total Metals'!O$13,'ICP-MS Total Metals'!O$17,'RAW ICP-MS Data'!N26*50/'ICP-MS Total Metals'!$B30)</f>
        <v>19544.714896934518</v>
      </c>
      <c r="P30" s="46">
        <f>IF('RAW ICP-MS Data'!O26&lt;'ICP-MS Total Metals'!P$13,'ICP-MS Total Metals'!P$17,'RAW ICP-MS Data'!O26*50/'ICP-MS Total Metals'!$B30)</f>
        <v>2035.8351903430023</v>
      </c>
      <c r="Q30" s="46">
        <f>IF('RAW ICP-MS Data'!P26&lt;'ICP-MS Total Metals'!Q$13,'ICP-MS Total Metals'!Q$17,'RAW ICP-MS Data'!P26*50/'ICP-MS Total Metals'!$B30)</f>
        <v>8370.9042671941788</v>
      </c>
      <c r="R30" s="46">
        <f>IF('RAW ICP-MS Data'!Q26&lt;'ICP-MS Total Metals'!R$13,'ICP-MS Total Metals'!R$17,'RAW ICP-MS Data'!Q26*50/'ICP-MS Total Metals'!$B30)</f>
        <v>1971.7072592652125</v>
      </c>
      <c r="S30" s="46">
        <f>IF('RAW ICP-MS Data'!R26&lt;'ICP-MS Total Metals'!S$13,'ICP-MS Total Metals'!S$17,'RAW ICP-MS Data'!R26*50/'ICP-MS Total Metals'!$B30)</f>
        <v>408.9709271900399</v>
      </c>
      <c r="T30" s="46">
        <f>IF('RAW ICP-MS Data'!S26&lt;'ICP-MS Total Metals'!T$13,'ICP-MS Total Metals'!T$17,'RAW ICP-MS Data'!S26*50/'ICP-MS Total Metals'!$B30)</f>
        <v>2281.7630579675783</v>
      </c>
      <c r="U30" s="46">
        <f>IF('RAW ICP-MS Data'!T26&lt;'ICP-MS Total Metals'!U$13,'ICP-MS Total Metals'!U$17,'RAW ICP-MS Data'!T26*50/'ICP-MS Total Metals'!$B30)</f>
        <v>293.31279012704329</v>
      </c>
      <c r="V30" s="46">
        <f>IF('RAW ICP-MS Data'!U26&lt;'ICP-MS Total Metals'!V$13,'ICP-MS Total Metals'!V$17,'RAW ICP-MS Data'!U26*50/'ICP-MS Total Metals'!$B30)</f>
        <v>1977.0492124641446</v>
      </c>
      <c r="W30" s="46">
        <f>IF('RAW ICP-MS Data'!V26&lt;'ICP-MS Total Metals'!W$13,'ICP-MS Total Metals'!W$17,'RAW ICP-MS Data'!V26*50/'ICP-MS Total Metals'!$B30)</f>
        <v>407.23331402579652</v>
      </c>
      <c r="X30" s="46">
        <f>IF('RAW ICP-MS Data'!W26&lt;'ICP-MS Total Metals'!X$13,'ICP-MS Total Metals'!X$17,'RAW ICP-MS Data'!W26*50/'ICP-MS Total Metals'!$B30)</f>
        <v>1184.4458502873431</v>
      </c>
      <c r="Y30" s="46">
        <f>IF('RAW ICP-MS Data'!X26&lt;'ICP-MS Total Metals'!Y$13,'ICP-MS Total Metals'!Y$17,'RAW ICP-MS Data'!X26*50/'ICP-MS Total Metals'!$B30)</f>
        <v>164.45480987470552</v>
      </c>
      <c r="Z30" s="46">
        <f>IF('RAW ICP-MS Data'!Y26&lt;'ICP-MS Total Metals'!Z$13,'ICP-MS Total Metals'!Z$17,'RAW ICP-MS Data'!Y26*50/'ICP-MS Total Metals'!$B30)</f>
        <v>1005.4012948650528</v>
      </c>
      <c r="AA30" s="46">
        <f>IF('RAW ICP-MS Data'!Z26&lt;'ICP-MS Total Metals'!AA$13,'ICP-MS Total Metals'!AA$17,'RAW ICP-MS Data'!Z26*50/'ICP-MS Total Metals'!$B30)</f>
        <v>145.45714041301557</v>
      </c>
      <c r="AB30" s="46">
        <f>IF('RAW ICP-MS Data'!AA26&lt;'ICP-MS Total Metals'!AB$13,'ICP-MS Total Metals'!AB$17,'RAW ICP-MS Data'!AA26*50/'ICP-MS Total Metals'!$B30)</f>
        <v>105.22449688953785</v>
      </c>
      <c r="AC30" s="46">
        <f>IF('RAW ICP-MS Data'!AB26&lt;'ICP-MS Total Metals'!AC$13,'ICP-MS Total Metals'!AC$17,'RAW ICP-MS Data'!AB26*50/'ICP-MS Total Metals'!$B30)</f>
        <v>8.9783503603182169</v>
      </c>
      <c r="AD30" s="46">
        <f>IF('RAW ICP-MS Data'!AC26&lt;'ICP-MS Total Metals'!AD$13,'ICP-MS Total Metals'!AD$17,'RAW ICP-MS Data'!AC26*50/'ICP-MS Total Metals'!$B30)</f>
        <v>47.230749220177685</v>
      </c>
      <c r="AE30" s="46">
        <f>IF('RAW ICP-MS Data'!AD26&lt;'ICP-MS Total Metals'!AE$13,'ICP-MS Total Metals'!AE$17,'RAW ICP-MS Data'!AD26*50/'ICP-MS Total Metals'!$B30)</f>
        <v>515.5675699956688</v>
      </c>
      <c r="AF30" s="46">
        <f>IF('RAW ICP-MS Data'!AE26&lt;'ICP-MS Total Metals'!AF$13,'ICP-MS Total Metals'!AF$17,'RAW ICP-MS Data'!AE26*50/'ICP-MS Total Metals'!$B30)</f>
        <v>1681.4204697264324</v>
      </c>
      <c r="AG30" s="46">
        <f>IF('RAW ICP-MS Data'!AF26&lt;'ICP-MS Total Metals'!AG$13,'ICP-MS Total Metals'!AG$17,'RAW ICP-MS Data'!AF26*50/'ICP-MS Total Metals'!$B30)</f>
        <v>874.43526410765912</v>
      </c>
      <c r="AH30" s="46">
        <f>IF('RAW ICP-MS Data'!AG26&lt;'ICP-MS Total Metals'!AH$13,'ICP-MS Total Metals'!AH$17,'RAW ICP-MS Data'!AG26*50/'ICP-MS Total Metals'!$B30)</f>
        <v>0</v>
      </c>
      <c r="AI30" s="46">
        <f>IF('RAW ICP-MS Data'!AH26&lt;'ICP-MS Total Metals'!AI$13,'ICP-MS Total Metals'!AI$17,'RAW ICP-MS Data'!AH26*50/'ICP-MS Total Metals'!$B30)</f>
        <v>100.07888938920844</v>
      </c>
      <c r="AJ30" s="46">
        <f>IF('RAW ICP-MS Data'!AI26&lt;'ICP-MS Total Metals'!AJ$13,'ICP-MS Total Metals'!AJ$17,'RAW ICP-MS Data'!AI26*50/'ICP-MS Total Metals'!$B30)</f>
        <v>874.3234503125035</v>
      </c>
      <c r="AK30" s="46">
        <f>IF('RAW ICP-MS Data'!AJ26&lt;'ICP-MS Total Metals'!AK$13,'ICP-MS Total Metals'!AK$17,'RAW ICP-MS Data'!AJ26*50/'ICP-MS Total Metals'!$B30)</f>
        <v>0</v>
      </c>
      <c r="AL30" s="46">
        <f>IF('RAW ICP-MS Data'!AK26&lt;'ICP-MS Total Metals'!AL$13,'ICP-MS Total Metals'!AL$17,'RAW ICP-MS Data'!AK26*50/'ICP-MS Total Metals'!$B30)</f>
        <v>8036.7963788346678</v>
      </c>
      <c r="AM30" s="46">
        <f>IF('RAW ICP-MS Data'!AL26&lt;'ICP-MS Total Metals'!AM$13,'ICP-MS Total Metals'!AM$17,'RAW ICP-MS Data'!AL26*50/'ICP-MS Total Metals'!$B30)</f>
        <v>0</v>
      </c>
      <c r="AN30" s="46">
        <f>IF('RAW ICP-MS Data'!AM26&lt;'ICP-MS Total Metals'!AN$13,'ICP-MS Total Metals'!AN$17,'RAW ICP-MS Data'!AM26*50/'ICP-MS Total Metals'!$B30)</f>
        <v>0</v>
      </c>
    </row>
    <row r="31" spans="1:40" s="22" customFormat="1" ht="15.75" thickBot="1" x14ac:dyDescent="0.25">
      <c r="A31" s="51">
        <f>'Raw ICP-OES Data'!A27</f>
        <v>0</v>
      </c>
      <c r="B31" s="108">
        <v>0.50009999999999999</v>
      </c>
      <c r="C31" s="46">
        <f>IF('RAW ICP-MS Data'!B27&lt;'ICP-MS Total Metals'!C$13,'ICP-MS Total Metals'!C$17,'RAW ICP-MS Data'!B27*50/'ICP-MS Total Metals'!$B31)</f>
        <v>1566.1779089079384</v>
      </c>
      <c r="D31" s="46">
        <f>IF('RAW ICP-MS Data'!C27&lt;'ICP-MS Total Metals'!D$13,'ICP-MS Total Metals'!D$17,'RAW ICP-MS Data'!C27*50/'ICP-MS Total Metals'!$B31)</f>
        <v>819.24542900505787</v>
      </c>
      <c r="E31" s="46">
        <f>IF('RAW ICP-MS Data'!D27&lt;'ICP-MS Total Metals'!E$13,'ICP-MS Total Metals'!E$17,'RAW ICP-MS Data'!D27*50/'ICP-MS Total Metals'!$B31)</f>
        <v>1748.0076391894522</v>
      </c>
      <c r="F31" s="46">
        <f>IF('RAW ICP-MS Data'!E27&lt;'ICP-MS Total Metals'!F$13,'ICP-MS Total Metals'!F$17,'RAW ICP-MS Data'!E27*50/'ICP-MS Total Metals'!$B31)</f>
        <v>2174.9303692773947</v>
      </c>
      <c r="G31" s="46">
        <f>IF('RAW ICP-MS Data'!F27&lt;'ICP-MS Total Metals'!G$13,'ICP-MS Total Metals'!G$17,'RAW ICP-MS Data'!F27*50/'ICP-MS Total Metals'!$B31)</f>
        <v>11159.045862618377</v>
      </c>
      <c r="H31" s="46">
        <f>IF('RAW ICP-MS Data'!G27&lt;'ICP-MS Total Metals'!H$13,'ICP-MS Total Metals'!H$17,'RAW ICP-MS Data'!G27*50/'ICP-MS Total Metals'!$B31)</f>
        <v>2363.0511591867225</v>
      </c>
      <c r="I31" s="46">
        <f>IF('RAW ICP-MS Data'!H27&lt;'ICP-MS Total Metals'!I$13,'ICP-MS Total Metals'!I$17,'RAW ICP-MS Data'!H27*50/'ICP-MS Total Metals'!$B31)</f>
        <v>68.229574899333244</v>
      </c>
      <c r="J31" s="46">
        <f>IF('RAW ICP-MS Data'!I27&lt;'ICP-MS Total Metals'!J$13,'ICP-MS Total Metals'!J$17,'RAW ICP-MS Data'!I27*50/'ICP-MS Total Metals'!$B31)</f>
        <v>612.49468783765644</v>
      </c>
      <c r="K31" s="46">
        <f>IF('RAW ICP-MS Data'!J27&lt;'ICP-MS Total Metals'!K$13,'ICP-MS Total Metals'!K$17,'RAW ICP-MS Data'!J27*50/'ICP-MS Total Metals'!$B31)</f>
        <v>1000203.0336805838</v>
      </c>
      <c r="L31" s="46">
        <f>IF('RAW ICP-MS Data'!K27&lt;'ICP-MS Total Metals'!L$13,'ICP-MS Total Metals'!L$17,'RAW ICP-MS Data'!K27*50/'ICP-MS Total Metals'!$B31)</f>
        <v>43.448644016641374</v>
      </c>
      <c r="M31" s="46">
        <f>IF('RAW ICP-MS Data'!L27&lt;'ICP-MS Total Metals'!M$13,'ICP-MS Total Metals'!M$17,'RAW ICP-MS Data'!L27*50/'ICP-MS Total Metals'!$B31)</f>
        <v>429.45774500163964</v>
      </c>
      <c r="N31" s="46">
        <f>IF('RAW ICP-MS Data'!M27&lt;'ICP-MS Total Metals'!N$13,'ICP-MS Total Metals'!N$17,'RAW ICP-MS Data'!M27*50/'ICP-MS Total Metals'!$B31)</f>
        <v>5851.1328938511506</v>
      </c>
      <c r="O31" s="46">
        <f>IF('RAW ICP-MS Data'!N27&lt;'ICP-MS Total Metals'!O$13,'ICP-MS Total Metals'!O$17,'RAW ICP-MS Data'!N27*50/'ICP-MS Total Metals'!$B31)</f>
        <v>20397.469333447414</v>
      </c>
      <c r="P31" s="46">
        <f>IF('RAW ICP-MS Data'!O27&lt;'ICP-MS Total Metals'!P$13,'ICP-MS Total Metals'!P$17,'RAW ICP-MS Data'!O27*50/'ICP-MS Total Metals'!$B31)</f>
        <v>2187.4112756657169</v>
      </c>
      <c r="Q31" s="46">
        <f>IF('RAW ICP-MS Data'!P27&lt;'ICP-MS Total Metals'!Q$13,'ICP-MS Total Metals'!Q$17,'RAW ICP-MS Data'!P27*50/'ICP-MS Total Metals'!$B31)</f>
        <v>9017.3186865292846</v>
      </c>
      <c r="R31" s="46">
        <f>IF('RAW ICP-MS Data'!Q27&lt;'ICP-MS Total Metals'!R$13,'ICP-MS Total Metals'!R$17,'RAW ICP-MS Data'!Q27*50/'ICP-MS Total Metals'!$B31)</f>
        <v>2149.7827543164967</v>
      </c>
      <c r="S31" s="46">
        <f>IF('RAW ICP-MS Data'!R27&lt;'ICP-MS Total Metals'!S$13,'ICP-MS Total Metals'!S$17,'RAW ICP-MS Data'!R27*50/'ICP-MS Total Metals'!$B31)</f>
        <v>428.92588610209958</v>
      </c>
      <c r="T31" s="46">
        <f>IF('RAW ICP-MS Data'!S27&lt;'ICP-MS Total Metals'!T$13,'ICP-MS Total Metals'!T$17,'RAW ICP-MS Data'!S27*50/'ICP-MS Total Metals'!$B31)</f>
        <v>2458.6067887102981</v>
      </c>
      <c r="U31" s="46">
        <f>IF('RAW ICP-MS Data'!T27&lt;'ICP-MS Total Metals'!U$13,'ICP-MS Total Metals'!U$17,'RAW ICP-MS Data'!T27*50/'ICP-MS Total Metals'!$B31)</f>
        <v>320.79819891054797</v>
      </c>
      <c r="V31" s="46">
        <f>IF('RAW ICP-MS Data'!U27&lt;'ICP-MS Total Metals'!V$13,'ICP-MS Total Metals'!V$17,'RAW ICP-MS Data'!U27*50/'ICP-MS Total Metals'!$B31)</f>
        <v>2112.7765388990201</v>
      </c>
      <c r="W31" s="46">
        <f>IF('RAW ICP-MS Data'!V27&lt;'ICP-MS Total Metals'!W$13,'ICP-MS Total Metals'!W$17,'RAW ICP-MS Data'!V27*50/'ICP-MS Total Metals'!$B31)</f>
        <v>438.72025031946612</v>
      </c>
      <c r="X31" s="46">
        <f>IF('RAW ICP-MS Data'!W27&lt;'ICP-MS Total Metals'!X$13,'ICP-MS Total Metals'!X$17,'RAW ICP-MS Data'!W27*50/'ICP-MS Total Metals'!$B31)</f>
        <v>1289.8237079532992</v>
      </c>
      <c r="Y31" s="46">
        <f>IF('RAW ICP-MS Data'!X27&lt;'ICP-MS Total Metals'!Y$13,'ICP-MS Total Metals'!Y$17,'RAW ICP-MS Data'!X27*50/'ICP-MS Total Metals'!$B31)</f>
        <v>179.57498991956211</v>
      </c>
      <c r="Z31" s="46">
        <f>IF('RAW ICP-MS Data'!Y27&lt;'ICP-MS Total Metals'!Z$13,'ICP-MS Total Metals'!Z$17,'RAW ICP-MS Data'!Y27*50/'ICP-MS Total Metals'!$B31)</f>
        <v>1087.6327070747252</v>
      </c>
      <c r="AA31" s="46">
        <f>IF('RAW ICP-MS Data'!Z27&lt;'ICP-MS Total Metals'!AA$13,'ICP-MS Total Metals'!AA$17,'RAW ICP-MS Data'!Z27*50/'ICP-MS Total Metals'!$B31)</f>
        <v>157.35952215203264</v>
      </c>
      <c r="AB31" s="46">
        <f>IF('RAW ICP-MS Data'!AA27&lt;'ICP-MS Total Metals'!AB$13,'ICP-MS Total Metals'!AB$17,'RAW ICP-MS Data'!AA27*50/'ICP-MS Total Metals'!$B31)</f>
        <v>116.55556497164567</v>
      </c>
      <c r="AC31" s="46">
        <f>IF('RAW ICP-MS Data'!AB27&lt;'ICP-MS Total Metals'!AC$13,'ICP-MS Total Metals'!AC$17,'RAW ICP-MS Data'!AB27*50/'ICP-MS Total Metals'!$B31)</f>
        <v>14.163508729579386</v>
      </c>
      <c r="AD31" s="46">
        <f>IF('RAW ICP-MS Data'!AC27&lt;'ICP-MS Total Metals'!AD$13,'ICP-MS Total Metals'!AD$17,'RAW ICP-MS Data'!AC27*50/'ICP-MS Total Metals'!$B31)</f>
        <v>68.555644908523391</v>
      </c>
      <c r="AE31" s="46">
        <f>IF('RAW ICP-MS Data'!AD27&lt;'ICP-MS Total Metals'!AE$13,'ICP-MS Total Metals'!AE$17,'RAW ICP-MS Data'!AD27*50/'ICP-MS Total Metals'!$B31)</f>
        <v>295.15001757063084</v>
      </c>
      <c r="AF31" s="46">
        <f>IF('RAW ICP-MS Data'!AE27&lt;'ICP-MS Total Metals'!AF$13,'ICP-MS Total Metals'!AF$17,'RAW ICP-MS Data'!AE27*50/'ICP-MS Total Metals'!$B31)</f>
        <v>1728.3354507327035</v>
      </c>
      <c r="AG31" s="46">
        <f>IF('RAW ICP-MS Data'!AF27&lt;'ICP-MS Total Metals'!AG$13,'ICP-MS Total Metals'!AG$17,'RAW ICP-MS Data'!AF27*50/'ICP-MS Total Metals'!$B31)</f>
        <v>881.99290727762354</v>
      </c>
      <c r="AH31" s="46">
        <f>IF('RAW ICP-MS Data'!AG27&lt;'ICP-MS Total Metals'!AH$13,'ICP-MS Total Metals'!AH$17,'RAW ICP-MS Data'!AG27*50/'ICP-MS Total Metals'!$B31)</f>
        <v>0</v>
      </c>
      <c r="AI31" s="46">
        <f>IF('RAW ICP-MS Data'!AH27&lt;'ICP-MS Total Metals'!AI$13,'ICP-MS Total Metals'!AI$17,'RAW ICP-MS Data'!AH27*50/'ICP-MS Total Metals'!$B31)</f>
        <v>120.62601542842832</v>
      </c>
      <c r="AJ31" s="46">
        <f>IF('RAW ICP-MS Data'!AI27&lt;'ICP-MS Total Metals'!AJ$13,'ICP-MS Total Metals'!AJ$17,'RAW ICP-MS Data'!AI27*50/'ICP-MS Total Metals'!$B31)</f>
        <v>1011.3643644687664</v>
      </c>
      <c r="AK31" s="46">
        <f>IF('RAW ICP-MS Data'!AJ27&lt;'ICP-MS Total Metals'!AK$13,'ICP-MS Total Metals'!AK$17,'RAW ICP-MS Data'!AJ27*50/'ICP-MS Total Metals'!$B31)</f>
        <v>181.75998214861929</v>
      </c>
      <c r="AL31" s="46">
        <f>IF('RAW ICP-MS Data'!AK27&lt;'ICP-MS Total Metals'!AL$13,'ICP-MS Total Metals'!AL$17,'RAW ICP-MS Data'!AK27*50/'ICP-MS Total Metals'!$B31)</f>
        <v>6344.9224893311039</v>
      </c>
      <c r="AM31" s="46">
        <f>IF('RAW ICP-MS Data'!AL27&lt;'ICP-MS Total Metals'!AM$13,'ICP-MS Total Metals'!AM$17,'RAW ICP-MS Data'!AL27*50/'ICP-MS Total Metals'!$B31)</f>
        <v>0</v>
      </c>
      <c r="AN31" s="46">
        <f>IF('RAW ICP-MS Data'!AM27&lt;'ICP-MS Total Metals'!AN$13,'ICP-MS Total Metals'!AN$17,'RAW ICP-MS Data'!AM27*50/'ICP-MS Total Metals'!$B31)</f>
        <v>0</v>
      </c>
    </row>
    <row r="32" spans="1:40" s="22" customFormat="1" ht="15.75" thickBot="1" x14ac:dyDescent="0.25">
      <c r="A32" s="51">
        <f>'Raw ICP-OES Data'!A28</f>
        <v>0</v>
      </c>
      <c r="B32" s="108">
        <v>0.49990000000000001</v>
      </c>
      <c r="C32" s="46">
        <f>IF('RAW ICP-MS Data'!B28&lt;'ICP-MS Total Metals'!C$13,'ICP-MS Total Metals'!C$17,'RAW ICP-MS Data'!B28*50/'ICP-MS Total Metals'!$B32)</f>
        <v>1625.8369612844667</v>
      </c>
      <c r="D32" s="46">
        <f>IF('RAW ICP-MS Data'!C28&lt;'ICP-MS Total Metals'!D$13,'ICP-MS Total Metals'!D$17,'RAW ICP-MS Data'!C28*50/'ICP-MS Total Metals'!$B32)</f>
        <v>927.565173490539</v>
      </c>
      <c r="E32" s="46">
        <f>IF('RAW ICP-MS Data'!D28&lt;'ICP-MS Total Metals'!E$13,'ICP-MS Total Metals'!E$17,'RAW ICP-MS Data'!D28*50/'ICP-MS Total Metals'!$B32)</f>
        <v>1829.7133802998796</v>
      </c>
      <c r="F32" s="46">
        <f>IF('RAW ICP-MS Data'!E28&lt;'ICP-MS Total Metals'!F$13,'ICP-MS Total Metals'!F$17,'RAW ICP-MS Data'!E28*50/'ICP-MS Total Metals'!$B32)</f>
        <v>2461.9232465124824</v>
      </c>
      <c r="G32" s="46">
        <f>IF('RAW ICP-MS Data'!F28&lt;'ICP-MS Total Metals'!G$13,'ICP-MS Total Metals'!G$17,'RAW ICP-MS Data'!F28*50/'ICP-MS Total Metals'!$B32)</f>
        <v>11575.947786030907</v>
      </c>
      <c r="H32" s="46">
        <f>IF('RAW ICP-MS Data'!G28&lt;'ICP-MS Total Metals'!H$13,'ICP-MS Total Metals'!H$17,'RAW ICP-MS Data'!G28*50/'ICP-MS Total Metals'!$B32)</f>
        <v>2832.3564380364473</v>
      </c>
      <c r="I32" s="46">
        <f>IF('RAW ICP-MS Data'!H28&lt;'ICP-MS Total Metals'!I$13,'ICP-MS Total Metals'!I$17,'RAW ICP-MS Data'!H28*50/'ICP-MS Total Metals'!$B32)</f>
        <v>76.002271177043411</v>
      </c>
      <c r="J32" s="46">
        <f>IF('RAW ICP-MS Data'!I28&lt;'ICP-MS Total Metals'!J$13,'ICP-MS Total Metals'!J$17,'RAW ICP-MS Data'!I28*50/'ICP-MS Total Metals'!$B32)</f>
        <v>607.8994652993149</v>
      </c>
      <c r="K32" s="46">
        <f>IF('RAW ICP-MS Data'!J28&lt;'ICP-MS Total Metals'!K$13,'ICP-MS Total Metals'!K$17,'RAW ICP-MS Data'!J28*50/'ICP-MS Total Metals'!$B32)</f>
        <v>1706650.5718708443</v>
      </c>
      <c r="L32" s="46">
        <f>IF('RAW ICP-MS Data'!K28&lt;'ICP-MS Total Metals'!L$13,'ICP-MS Total Metals'!L$17,'RAW ICP-MS Data'!K28*50/'ICP-MS Total Metals'!$B32)</f>
        <v>65.013219360753254</v>
      </c>
      <c r="M32" s="46">
        <f>IF('RAW ICP-MS Data'!L28&lt;'ICP-MS Total Metals'!M$13,'ICP-MS Total Metals'!M$17,'RAW ICP-MS Data'!L28*50/'ICP-MS Total Metals'!$B32)</f>
        <v>447.71621222149525</v>
      </c>
      <c r="N32" s="46">
        <f>IF('RAW ICP-MS Data'!M28&lt;'ICP-MS Total Metals'!N$13,'ICP-MS Total Metals'!N$17,'RAW ICP-MS Data'!M28*50/'ICP-MS Total Metals'!$B32)</f>
        <v>5924.4948378463596</v>
      </c>
      <c r="O32" s="46">
        <f>IF('RAW ICP-MS Data'!N28&lt;'ICP-MS Total Metals'!O$13,'ICP-MS Total Metals'!O$17,'RAW ICP-MS Data'!N28*50/'ICP-MS Total Metals'!$B32)</f>
        <v>20632.583290830968</v>
      </c>
      <c r="P32" s="46">
        <f>IF('RAW ICP-MS Data'!O28&lt;'ICP-MS Total Metals'!P$13,'ICP-MS Total Metals'!P$17,'RAW ICP-MS Data'!O28*50/'ICP-MS Total Metals'!$B32)</f>
        <v>2209.0699570156235</v>
      </c>
      <c r="Q32" s="46">
        <f>IF('RAW ICP-MS Data'!P28&lt;'ICP-MS Total Metals'!Q$13,'ICP-MS Total Metals'!Q$17,'RAW ICP-MS Data'!P28*50/'ICP-MS Total Metals'!$B32)</f>
        <v>9097.3358617039721</v>
      </c>
      <c r="R32" s="46">
        <f>IF('RAW ICP-MS Data'!Q28&lt;'ICP-MS Total Metals'!R$13,'ICP-MS Total Metals'!R$17,'RAW ICP-MS Data'!Q28*50/'ICP-MS Total Metals'!$B32)</f>
        <v>2120.7437068622726</v>
      </c>
      <c r="S32" s="46">
        <f>IF('RAW ICP-MS Data'!R28&lt;'ICP-MS Total Metals'!S$13,'ICP-MS Total Metals'!S$17,'RAW ICP-MS Data'!R28*50/'ICP-MS Total Metals'!$B32)</f>
        <v>446.56369484445185</v>
      </c>
      <c r="T32" s="46">
        <f>IF('RAW ICP-MS Data'!S28&lt;'ICP-MS Total Metals'!T$13,'ICP-MS Total Metals'!T$17,'RAW ICP-MS Data'!S28*50/'ICP-MS Total Metals'!$B32)</f>
        <v>2494.4948655378271</v>
      </c>
      <c r="U32" s="46">
        <f>IF('RAW ICP-MS Data'!T28&lt;'ICP-MS Total Metals'!U$13,'ICP-MS Total Metals'!U$17,'RAW ICP-MS Data'!T28*50/'ICP-MS Total Metals'!$B32)</f>
        <v>324.07921782025403</v>
      </c>
      <c r="V32" s="46">
        <f>IF('RAW ICP-MS Data'!U28&lt;'ICP-MS Total Metals'!V$13,'ICP-MS Total Metals'!V$17,'RAW ICP-MS Data'!U28*50/'ICP-MS Total Metals'!$B32)</f>
        <v>2162.580856504901</v>
      </c>
      <c r="W32" s="46">
        <f>IF('RAW ICP-MS Data'!V28&lt;'ICP-MS Total Metals'!W$13,'ICP-MS Total Metals'!W$17,'RAW ICP-MS Data'!V28*50/'ICP-MS Total Metals'!$B32)</f>
        <v>458.95563582245046</v>
      </c>
      <c r="X32" s="46">
        <f>IF('RAW ICP-MS Data'!W28&lt;'ICP-MS Total Metals'!X$13,'ICP-MS Total Metals'!X$17,'RAW ICP-MS Data'!W28*50/'ICP-MS Total Metals'!$B32)</f>
        <v>1292.3491275491399</v>
      </c>
      <c r="Y32" s="46">
        <f>IF('RAW ICP-MS Data'!X28&lt;'ICP-MS Total Metals'!Y$13,'ICP-MS Total Metals'!Y$17,'RAW ICP-MS Data'!X28*50/'ICP-MS Total Metals'!$B32)</f>
        <v>182.49294448165634</v>
      </c>
      <c r="Z32" s="46">
        <f>IF('RAW ICP-MS Data'!Y28&lt;'ICP-MS Total Metals'!Z$13,'ICP-MS Total Metals'!Z$17,'RAW ICP-MS Data'!Y28*50/'ICP-MS Total Metals'!$B32)</f>
        <v>1164.9011953027705</v>
      </c>
      <c r="AA32" s="46">
        <f>IF('RAW ICP-MS Data'!Z28&lt;'ICP-MS Total Metals'!AA$13,'ICP-MS Total Metals'!AA$17,'RAW ICP-MS Data'!Z28*50/'ICP-MS Total Metals'!$B32)</f>
        <v>167.64416574375576</v>
      </c>
      <c r="AB32" s="46">
        <f>IF('RAW ICP-MS Data'!AA28&lt;'ICP-MS Total Metals'!AB$13,'ICP-MS Total Metals'!AB$17,'RAW ICP-MS Data'!AA28*50/'ICP-MS Total Metals'!$B32)</f>
        <v>131.80507596293356</v>
      </c>
      <c r="AC32" s="46">
        <f>IF('RAW ICP-MS Data'!AB28&lt;'ICP-MS Total Metals'!AC$13,'ICP-MS Total Metals'!AC$17,'RAW ICP-MS Data'!AB28*50/'ICP-MS Total Metals'!$B32)</f>
        <v>11.986488898687236</v>
      </c>
      <c r="AD32" s="46">
        <f>IF('RAW ICP-MS Data'!AC28&lt;'ICP-MS Total Metals'!AD$13,'ICP-MS Total Metals'!AD$17,'RAW ICP-MS Data'!AC28*50/'ICP-MS Total Metals'!$B32)</f>
        <v>57.308851423408782</v>
      </c>
      <c r="AE32" s="46">
        <f>IF('RAW ICP-MS Data'!AD28&lt;'ICP-MS Total Metals'!AE$13,'ICP-MS Total Metals'!AE$17,'RAW ICP-MS Data'!AD28*50/'ICP-MS Total Metals'!$B32)</f>
        <v>519.55723665243738</v>
      </c>
      <c r="AF32" s="46">
        <f>IF('RAW ICP-MS Data'!AE28&lt;'ICP-MS Total Metals'!AF$13,'ICP-MS Total Metals'!AF$17,'RAW ICP-MS Data'!AE28*50/'ICP-MS Total Metals'!$B32)</f>
        <v>1745.6749878284556</v>
      </c>
      <c r="AG32" s="46">
        <f>IF('RAW ICP-MS Data'!AF28&lt;'ICP-MS Total Metals'!AG$13,'ICP-MS Total Metals'!AG$17,'RAW ICP-MS Data'!AF28*50/'ICP-MS Total Metals'!$B32)</f>
        <v>978.55301271471001</v>
      </c>
      <c r="AH32" s="46">
        <f>IF('RAW ICP-MS Data'!AG28&lt;'ICP-MS Total Metals'!AH$13,'ICP-MS Total Metals'!AH$17,'RAW ICP-MS Data'!AG28*50/'ICP-MS Total Metals'!$B32)</f>
        <v>0</v>
      </c>
      <c r="AI32" s="46">
        <f>IF('RAW ICP-MS Data'!AH28&lt;'ICP-MS Total Metals'!AI$13,'ICP-MS Total Metals'!AI$17,'RAW ICP-MS Data'!AH28*50/'ICP-MS Total Metals'!$B32)</f>
        <v>134.64921928550609</v>
      </c>
      <c r="AJ32" s="46">
        <f>IF('RAW ICP-MS Data'!AI28&lt;'ICP-MS Total Metals'!AJ$13,'ICP-MS Total Metals'!AJ$17,'RAW ICP-MS Data'!AI28*50/'ICP-MS Total Metals'!$B32)</f>
        <v>1104.7078655710743</v>
      </c>
      <c r="AK32" s="46">
        <f>IF('RAW ICP-MS Data'!AJ28&lt;'ICP-MS Total Metals'!AK$13,'ICP-MS Total Metals'!AK$17,'RAW ICP-MS Data'!AJ28*50/'ICP-MS Total Metals'!$B32)</f>
        <v>20.642671323751351</v>
      </c>
      <c r="AL32" s="46">
        <f>IF('RAW ICP-MS Data'!AK28&lt;'ICP-MS Total Metals'!AL$13,'ICP-MS Total Metals'!AL$17,'RAW ICP-MS Data'!AK28*50/'ICP-MS Total Metals'!$B32)</f>
        <v>9433.6721304204439</v>
      </c>
      <c r="AM32" s="46">
        <f>IF('RAW ICP-MS Data'!AL28&lt;'ICP-MS Total Metals'!AM$13,'ICP-MS Total Metals'!AM$17,'RAW ICP-MS Data'!AL28*50/'ICP-MS Total Metals'!$B32)</f>
        <v>0</v>
      </c>
      <c r="AN32" s="46">
        <f>IF('RAW ICP-MS Data'!AM28&lt;'ICP-MS Total Metals'!AN$13,'ICP-MS Total Metals'!AN$17,'RAW ICP-MS Data'!AM28*50/'ICP-MS Total Metals'!$B32)</f>
        <v>0</v>
      </c>
    </row>
    <row r="33" spans="1:41" s="22" customFormat="1" ht="15.75" thickBot="1" x14ac:dyDescent="0.25">
      <c r="A33" s="51">
        <f>'Raw ICP-OES Data'!A29</f>
        <v>0</v>
      </c>
      <c r="B33" s="108">
        <v>0.49969999999999998</v>
      </c>
      <c r="C33" s="46">
        <f>IF('RAW ICP-MS Data'!B29&lt;'ICP-MS Total Metals'!C$13,'ICP-MS Total Metals'!C$17,'RAW ICP-MS Data'!B29*50/'ICP-MS Total Metals'!$B33)</f>
        <v>510.79728286028626</v>
      </c>
      <c r="D33" s="46">
        <f>IF('RAW ICP-MS Data'!C29&lt;'ICP-MS Total Metals'!D$13,'ICP-MS Total Metals'!D$17,'RAW ICP-MS Data'!C29*50/'ICP-MS Total Metals'!$B33)</f>
        <v>1702.4252716520612</v>
      </c>
      <c r="E33" s="46">
        <f>IF('RAW ICP-MS Data'!D29&lt;'ICP-MS Total Metals'!E$13,'ICP-MS Total Metals'!E$17,'RAW ICP-MS Data'!D29*50/'ICP-MS Total Metals'!$B33)</f>
        <v>863.45136684043428</v>
      </c>
      <c r="F33" s="46">
        <f>IF('RAW ICP-MS Data'!E29&lt;'ICP-MS Total Metals'!F$13,'ICP-MS Total Metals'!F$17,'RAW ICP-MS Data'!E29*50/'ICP-MS Total Metals'!$B33)</f>
        <v>1164.7968927367822</v>
      </c>
      <c r="G33" s="46">
        <f>IF('RAW ICP-MS Data'!F29&lt;'ICP-MS Total Metals'!G$13,'ICP-MS Total Metals'!G$17,'RAW ICP-MS Data'!F29*50/'ICP-MS Total Metals'!$B33)</f>
        <v>4012.6213510267962</v>
      </c>
      <c r="H33" s="46">
        <f>IF('RAW ICP-MS Data'!G29&lt;'ICP-MS Total Metals'!H$13,'ICP-MS Total Metals'!H$17,'RAW ICP-MS Data'!G29*50/'ICP-MS Total Metals'!$B33)</f>
        <v>869.52329247008811</v>
      </c>
      <c r="I33" s="46">
        <f>IF('RAW ICP-MS Data'!H29&lt;'ICP-MS Total Metals'!I$13,'ICP-MS Total Metals'!I$17,'RAW ICP-MS Data'!H29*50/'ICP-MS Total Metals'!$B33)</f>
        <v>49.637159553995296</v>
      </c>
      <c r="J33" s="46">
        <f>IF('RAW ICP-MS Data'!I29&lt;'ICP-MS Total Metals'!J$13,'ICP-MS Total Metals'!J$17,'RAW ICP-MS Data'!I29*50/'ICP-MS Total Metals'!$B33)</f>
        <v>2.730065402610296</v>
      </c>
      <c r="K33" s="46">
        <f>IF('RAW ICP-MS Data'!J29&lt;'ICP-MS Total Metals'!K$13,'ICP-MS Total Metals'!K$17,'RAW ICP-MS Data'!J29*50/'ICP-MS Total Metals'!$B33)</f>
        <v>91504.420311134192</v>
      </c>
      <c r="L33" s="46">
        <f>IF('RAW ICP-MS Data'!K29&lt;'ICP-MS Total Metals'!L$13,'ICP-MS Total Metals'!L$17,'RAW ICP-MS Data'!K29*50/'ICP-MS Total Metals'!$B33)</f>
        <v>41.342553529305178</v>
      </c>
      <c r="M33" s="46">
        <f>IF('RAW ICP-MS Data'!L29&lt;'ICP-MS Total Metals'!M$13,'ICP-MS Total Metals'!M$17,'RAW ICP-MS Data'!L29*50/'ICP-MS Total Metals'!$B33)</f>
        <v>262.75635833141087</v>
      </c>
      <c r="N33" s="46">
        <f>IF('RAW ICP-MS Data'!M29&lt;'ICP-MS Total Metals'!N$13,'ICP-MS Total Metals'!N$17,'RAW ICP-MS Data'!M29*50/'ICP-MS Total Metals'!$B33)</f>
        <v>3586.3666275373625</v>
      </c>
      <c r="O33" s="46">
        <f>IF('RAW ICP-MS Data'!N29&lt;'ICP-MS Total Metals'!O$13,'ICP-MS Total Metals'!O$17,'RAW ICP-MS Data'!N29*50/'ICP-MS Total Metals'!$B33)</f>
        <v>5129.7583309740949</v>
      </c>
      <c r="P33" s="46">
        <f>IF('RAW ICP-MS Data'!O29&lt;'ICP-MS Total Metals'!P$13,'ICP-MS Total Metals'!P$17,'RAW ICP-MS Data'!O29*50/'ICP-MS Total Metals'!$B33)</f>
        <v>1037.0548551586553</v>
      </c>
      <c r="Q33" s="46">
        <f>IF('RAW ICP-MS Data'!P29&lt;'ICP-MS Total Metals'!Q$13,'ICP-MS Total Metals'!Q$17,'RAW ICP-MS Data'!P29*50/'ICP-MS Total Metals'!$B33)</f>
        <v>4501.2768860819597</v>
      </c>
      <c r="R33" s="46">
        <f>IF('RAW ICP-MS Data'!Q29&lt;'ICP-MS Total Metals'!R$13,'ICP-MS Total Metals'!R$17,'RAW ICP-MS Data'!Q29*50/'ICP-MS Total Metals'!$B33)</f>
        <v>941.28961423124781</v>
      </c>
      <c r="S33" s="46">
        <f>IF('RAW ICP-MS Data'!R29&lt;'ICP-MS Total Metals'!S$13,'ICP-MS Total Metals'!S$17,'RAW ICP-MS Data'!R29*50/'ICP-MS Total Metals'!$B33)</f>
        <v>200.92384874898738</v>
      </c>
      <c r="T33" s="46">
        <f>IF('RAW ICP-MS Data'!S29&lt;'ICP-MS Total Metals'!T$13,'ICP-MS Total Metals'!T$17,'RAW ICP-MS Data'!S29*50/'ICP-MS Total Metals'!$B33)</f>
        <v>985.94673089467585</v>
      </c>
      <c r="U33" s="46">
        <f>IF('RAW ICP-MS Data'!T29&lt;'ICP-MS Total Metals'!U$13,'ICP-MS Total Metals'!U$17,'RAW ICP-MS Data'!T29*50/'ICP-MS Total Metals'!$B33)</f>
        <v>79.849713711071956</v>
      </c>
      <c r="V33" s="46">
        <f>IF('RAW ICP-MS Data'!U29&lt;'ICP-MS Total Metals'!V$13,'ICP-MS Total Metals'!V$17,'RAW ICP-MS Data'!U29*50/'ICP-MS Total Metals'!$B33)</f>
        <v>584.48663819122078</v>
      </c>
      <c r="W33" s="46">
        <f>IF('RAW ICP-MS Data'!V29&lt;'ICP-MS Total Metals'!W$13,'ICP-MS Total Metals'!W$17,'RAW ICP-MS Data'!V29*50/'ICP-MS Total Metals'!$B33)</f>
        <v>116.16168440545427</v>
      </c>
      <c r="X33" s="46">
        <f>IF('RAW ICP-MS Data'!W29&lt;'ICP-MS Total Metals'!X$13,'ICP-MS Total Metals'!X$17,'RAW ICP-MS Data'!W29*50/'ICP-MS Total Metals'!$B33)</f>
        <v>290.58403196732047</v>
      </c>
      <c r="Y33" s="46">
        <f>IF('RAW ICP-MS Data'!X29&lt;'ICP-MS Total Metals'!Y$13,'ICP-MS Total Metals'!Y$17,'RAW ICP-MS Data'!X29*50/'ICP-MS Total Metals'!$B33)</f>
        <v>36.831142622561636</v>
      </c>
      <c r="Z33" s="46">
        <f>IF('RAW ICP-MS Data'!Y29&lt;'ICP-MS Total Metals'!Z$13,'ICP-MS Total Metals'!Z$17,'RAW ICP-MS Data'!Y29*50/'ICP-MS Total Metals'!$B33)</f>
        <v>191.81264809601663</v>
      </c>
      <c r="AA33" s="46">
        <f>IF('RAW ICP-MS Data'!Z29&lt;'ICP-MS Total Metals'!AA$13,'ICP-MS Total Metals'!AA$17,'RAW ICP-MS Data'!Z29*50/'ICP-MS Total Metals'!$B33)</f>
        <v>26.246954594372724</v>
      </c>
      <c r="AB33" s="46">
        <f>IF('RAW ICP-MS Data'!AA29&lt;'ICP-MS Total Metals'!AB$13,'ICP-MS Total Metals'!AB$17,'RAW ICP-MS Data'!AA29*50/'ICP-MS Total Metals'!$B33)</f>
        <v>38.227681802115171</v>
      </c>
      <c r="AC33" s="46">
        <f>IF('RAW ICP-MS Data'!AB29&lt;'ICP-MS Total Metals'!AC$13,'ICP-MS Total Metals'!AC$17,'RAW ICP-MS Data'!AB29*50/'ICP-MS Total Metals'!$B33)</f>
        <v>5.2965701422967086</v>
      </c>
      <c r="AD33" s="46">
        <f>IF('RAW ICP-MS Data'!AC29&lt;'ICP-MS Total Metals'!AD$13,'ICP-MS Total Metals'!AD$17,'RAW ICP-MS Data'!AC29*50/'ICP-MS Total Metals'!$B33)</f>
        <v>51.466464351670304</v>
      </c>
      <c r="AE33" s="46">
        <f>IF('RAW ICP-MS Data'!AD29&lt;'ICP-MS Total Metals'!AE$13,'ICP-MS Total Metals'!AE$17,'RAW ICP-MS Data'!AD29*50/'ICP-MS Total Metals'!$B33)</f>
        <v>316.10589964263062</v>
      </c>
      <c r="AF33" s="46">
        <f>IF('RAW ICP-MS Data'!AE29&lt;'ICP-MS Total Metals'!AF$13,'ICP-MS Total Metals'!AF$17,'RAW ICP-MS Data'!AE29*50/'ICP-MS Total Metals'!$B33)</f>
        <v>563.65280703754968</v>
      </c>
      <c r="AG33" s="46">
        <f>IF('RAW ICP-MS Data'!AF29&lt;'ICP-MS Total Metals'!AG$13,'ICP-MS Total Metals'!AG$17,'RAW ICP-MS Data'!AF29*50/'ICP-MS Total Metals'!$B33)</f>
        <v>753.74452994214232</v>
      </c>
      <c r="AH33" s="46">
        <f>IF('RAW ICP-MS Data'!AG29&lt;'ICP-MS Total Metals'!AH$13,'ICP-MS Total Metals'!AH$17,'RAW ICP-MS Data'!AG29*50/'ICP-MS Total Metals'!$B33)</f>
        <v>0</v>
      </c>
      <c r="AI33" s="46">
        <f>IF('RAW ICP-MS Data'!AH29&lt;'ICP-MS Total Metals'!AI$13,'ICP-MS Total Metals'!AI$17,'RAW ICP-MS Data'!AH29*50/'ICP-MS Total Metals'!$B33)</f>
        <v>0</v>
      </c>
      <c r="AJ33" s="46">
        <f>IF('RAW ICP-MS Data'!AI29&lt;'ICP-MS Total Metals'!AJ$13,'ICP-MS Total Metals'!AJ$17,'RAW ICP-MS Data'!AI29*50/'ICP-MS Total Metals'!$B33)</f>
        <v>0</v>
      </c>
      <c r="AK33" s="46">
        <f>IF('RAW ICP-MS Data'!AJ29&lt;'ICP-MS Total Metals'!AK$13,'ICP-MS Total Metals'!AK$17,'RAW ICP-MS Data'!AJ29*50/'ICP-MS Total Metals'!$B33)</f>
        <v>0</v>
      </c>
      <c r="AL33" s="46">
        <f>IF('RAW ICP-MS Data'!AK29&lt;'ICP-MS Total Metals'!AL$13,'ICP-MS Total Metals'!AL$17,'RAW ICP-MS Data'!AK29*50/'ICP-MS Total Metals'!$B33)</f>
        <v>9620.8086734177032</v>
      </c>
      <c r="AM33" s="46">
        <f>IF('RAW ICP-MS Data'!AL29&lt;'ICP-MS Total Metals'!AM$13,'ICP-MS Total Metals'!AM$17,'RAW ICP-MS Data'!AL29*50/'ICP-MS Total Metals'!$B33)</f>
        <v>0</v>
      </c>
      <c r="AN33" s="46">
        <f>IF('RAW ICP-MS Data'!AM29&lt;'ICP-MS Total Metals'!AN$13,'ICP-MS Total Metals'!AN$17,'RAW ICP-MS Data'!AM29*50/'ICP-MS Total Metals'!$B33)</f>
        <v>0</v>
      </c>
    </row>
    <row r="34" spans="1:41" s="22" customFormat="1" ht="15.75" thickBot="1" x14ac:dyDescent="0.25">
      <c r="A34" s="51">
        <f>'Raw ICP-OES Data'!A30</f>
        <v>0</v>
      </c>
      <c r="B34" s="108">
        <v>0.50039999999999996</v>
      </c>
      <c r="C34" s="46">
        <f>IF('RAW ICP-MS Data'!B30&lt;'ICP-MS Total Metals'!C$13,'ICP-MS Total Metals'!C$17,'RAW ICP-MS Data'!B30*50/'ICP-MS Total Metals'!$B34)</f>
        <v>624.06636125795376</v>
      </c>
      <c r="D34" s="46">
        <f>IF('RAW ICP-MS Data'!C30&lt;'ICP-MS Total Metals'!D$13,'ICP-MS Total Metals'!D$17,'RAW ICP-MS Data'!C30*50/'ICP-MS Total Metals'!$B34)</f>
        <v>2396.0987238513189</v>
      </c>
      <c r="E34" s="46">
        <f>IF('RAW ICP-MS Data'!D30&lt;'ICP-MS Total Metals'!E$13,'ICP-MS Total Metals'!E$17,'RAW ICP-MS Data'!D30*50/'ICP-MS Total Metals'!$B34)</f>
        <v>1277.6463025259993</v>
      </c>
      <c r="F34" s="46">
        <f>IF('RAW ICP-MS Data'!E30&lt;'ICP-MS Total Metals'!F$13,'ICP-MS Total Metals'!F$17,'RAW ICP-MS Data'!E30*50/'ICP-MS Total Metals'!$B34)</f>
        <v>2079.8703507419063</v>
      </c>
      <c r="G34" s="46">
        <f>IF('RAW ICP-MS Data'!F30&lt;'ICP-MS Total Metals'!G$13,'ICP-MS Total Metals'!G$17,'RAW ICP-MS Data'!F30*50/'ICP-MS Total Metals'!$B34)</f>
        <v>14619.155312194345</v>
      </c>
      <c r="H34" s="46">
        <f>IF('RAW ICP-MS Data'!G30&lt;'ICP-MS Total Metals'!H$13,'ICP-MS Total Metals'!H$17,'RAW ICP-MS Data'!G30*50/'ICP-MS Total Metals'!$B34)</f>
        <v>1351.0793315989411</v>
      </c>
      <c r="I34" s="46">
        <f>IF('RAW ICP-MS Data'!H30&lt;'ICP-MS Total Metals'!I$13,'ICP-MS Total Metals'!I$17,'RAW ICP-MS Data'!H30*50/'ICP-MS Total Metals'!$B34)</f>
        <v>78.271510632944953</v>
      </c>
      <c r="J34" s="46" t="e">
        <f>IF('RAW ICP-MS Data'!I30&lt;'ICP-MS Total Metals'!J$13,'ICP-MS Total Metals'!J$17,'RAW ICP-MS Data'!I30*50/'ICP-MS Total Metals'!$B34)</f>
        <v>#VALUE!</v>
      </c>
      <c r="K34" s="46">
        <f>IF('RAW ICP-MS Data'!J30&lt;'ICP-MS Total Metals'!K$13,'ICP-MS Total Metals'!K$17,'RAW ICP-MS Data'!J30*50/'ICP-MS Total Metals'!$B34)</f>
        <v>427967.9140543575</v>
      </c>
      <c r="L34" s="46">
        <f>IF('RAW ICP-MS Data'!K30&lt;'ICP-MS Total Metals'!L$13,'ICP-MS Total Metals'!L$17,'RAW ICP-MS Data'!K30*50/'ICP-MS Total Metals'!$B34)</f>
        <v>51.975735367749898</v>
      </c>
      <c r="M34" s="46">
        <f>IF('RAW ICP-MS Data'!L30&lt;'ICP-MS Total Metals'!M$13,'ICP-MS Total Metals'!M$17,'RAW ICP-MS Data'!L30*50/'ICP-MS Total Metals'!$B34)</f>
        <v>374.6108807165848</v>
      </c>
      <c r="N34" s="46">
        <f>IF('RAW ICP-MS Data'!M30&lt;'ICP-MS Total Metals'!N$13,'ICP-MS Total Metals'!N$17,'RAW ICP-MS Data'!M30*50/'ICP-MS Total Metals'!$B34)</f>
        <v>12623.094625733915</v>
      </c>
      <c r="O34" s="46">
        <f>IF('RAW ICP-MS Data'!N30&lt;'ICP-MS Total Metals'!O$13,'ICP-MS Total Metals'!O$17,'RAW ICP-MS Data'!N30*50/'ICP-MS Total Metals'!$B34)</f>
        <v>14270.281430009092</v>
      </c>
      <c r="P34" s="46">
        <f>IF('RAW ICP-MS Data'!O30&lt;'ICP-MS Total Metals'!P$13,'ICP-MS Total Metals'!P$17,'RAW ICP-MS Data'!O30*50/'ICP-MS Total Metals'!$B34)</f>
        <v>3595.1814033415476</v>
      </c>
      <c r="Q34" s="46">
        <f>IF('RAW ICP-MS Data'!P30&lt;'ICP-MS Total Metals'!Q$13,'ICP-MS Total Metals'!Q$17,'RAW ICP-MS Data'!P30*50/'ICP-MS Total Metals'!$B34)</f>
        <v>16259.836153513193</v>
      </c>
      <c r="R34" s="46">
        <f>IF('RAW ICP-MS Data'!Q30&lt;'ICP-MS Total Metals'!R$13,'ICP-MS Total Metals'!R$17,'RAW ICP-MS Data'!Q30*50/'ICP-MS Total Metals'!$B34)</f>
        <v>3470.5106245758693</v>
      </c>
      <c r="S34" s="46">
        <f>IF('RAW ICP-MS Data'!R30&lt;'ICP-MS Total Metals'!S$13,'ICP-MS Total Metals'!S$17,'RAW ICP-MS Data'!R30*50/'ICP-MS Total Metals'!$B34)</f>
        <v>785.63583958913671</v>
      </c>
      <c r="T34" s="46">
        <f>IF('RAW ICP-MS Data'!S30&lt;'ICP-MS Total Metals'!T$13,'ICP-MS Total Metals'!T$17,'RAW ICP-MS Data'!S30*50/'ICP-MS Total Metals'!$B34)</f>
        <v>3919.7825119357317</v>
      </c>
      <c r="U34" s="46">
        <f>IF('RAW ICP-MS Data'!T30&lt;'ICP-MS Total Metals'!U$13,'ICP-MS Total Metals'!U$17,'RAW ICP-MS Data'!T30*50/'ICP-MS Total Metals'!$B34)</f>
        <v>426.98807064642187</v>
      </c>
      <c r="V34" s="46">
        <f>IF('RAW ICP-MS Data'!U30&lt;'ICP-MS Total Metals'!V$13,'ICP-MS Total Metals'!V$17,'RAW ICP-MS Data'!U30*50/'ICP-MS Total Metals'!$B34)</f>
        <v>2317.2554014211337</v>
      </c>
      <c r="W34" s="46">
        <f>IF('RAW ICP-MS Data'!V30&lt;'ICP-MS Total Metals'!W$13,'ICP-MS Total Metals'!W$17,'RAW ICP-MS Data'!V30*50/'ICP-MS Total Metals'!$B34)</f>
        <v>442.45425414525579</v>
      </c>
      <c r="X34" s="46">
        <f>IF('RAW ICP-MS Data'!W30&lt;'ICP-MS Total Metals'!X$13,'ICP-MS Total Metals'!X$17,'RAW ICP-MS Data'!W30*50/'ICP-MS Total Metals'!$B34)</f>
        <v>1029.3035357639988</v>
      </c>
      <c r="Y34" s="46">
        <f>IF('RAW ICP-MS Data'!X30&lt;'ICP-MS Total Metals'!Y$13,'ICP-MS Total Metals'!Y$17,'RAW ICP-MS Data'!X30*50/'ICP-MS Total Metals'!$B34)</f>
        <v>106.80888154997304</v>
      </c>
      <c r="Z34" s="46">
        <f>IF('RAW ICP-MS Data'!Y30&lt;'ICP-MS Total Metals'!Z$13,'ICP-MS Total Metals'!Z$17,'RAW ICP-MS Data'!Y30*50/'ICP-MS Total Metals'!$B34)</f>
        <v>498.0729927499321</v>
      </c>
      <c r="AA34" s="46">
        <f>IF('RAW ICP-MS Data'!Z30&lt;'ICP-MS Total Metals'!AA$13,'ICP-MS Total Metals'!AA$17,'RAW ICP-MS Data'!Z30*50/'ICP-MS Total Metals'!$B34)</f>
        <v>64.414024833401385</v>
      </c>
      <c r="AB34" s="46">
        <f>IF('RAW ICP-MS Data'!AA30&lt;'ICP-MS Total Metals'!AB$13,'ICP-MS Total Metals'!AB$17,'RAW ICP-MS Data'!AA30*50/'ICP-MS Total Metals'!$B34)</f>
        <v>60.312718315666373</v>
      </c>
      <c r="AC34" s="46">
        <f>IF('RAW ICP-MS Data'!AB30&lt;'ICP-MS Total Metals'!AC$13,'ICP-MS Total Metals'!AC$17,'RAW ICP-MS Data'!AB30*50/'ICP-MS Total Metals'!$B34)</f>
        <v>7.0564332339924167</v>
      </c>
      <c r="AD34" s="46">
        <f>IF('RAW ICP-MS Data'!AC30&lt;'ICP-MS Total Metals'!AD$13,'ICP-MS Total Metals'!AD$17,'RAW ICP-MS Data'!AC30*50/'ICP-MS Total Metals'!$B34)</f>
        <v>105.57184258980814</v>
      </c>
      <c r="AE34" s="46">
        <f>IF('RAW ICP-MS Data'!AD30&lt;'ICP-MS Total Metals'!AE$13,'ICP-MS Total Metals'!AE$17,'RAW ICP-MS Data'!AD30*50/'ICP-MS Total Metals'!$B34)</f>
        <v>247.60890483809055</v>
      </c>
      <c r="AF34" s="46">
        <f>IF('RAW ICP-MS Data'!AE30&lt;'ICP-MS Total Metals'!AF$13,'ICP-MS Total Metals'!AF$17,'RAW ICP-MS Data'!AE30*50/'ICP-MS Total Metals'!$B34)</f>
        <v>880.06240185955323</v>
      </c>
      <c r="AG34" s="46">
        <f>IF('RAW ICP-MS Data'!AF30&lt;'ICP-MS Total Metals'!AG$13,'ICP-MS Total Metals'!AG$17,'RAW ICP-MS Data'!AF30*50/'ICP-MS Total Metals'!$B34)</f>
        <v>1824.9245833979919</v>
      </c>
      <c r="AH34" s="46">
        <f>IF('RAW ICP-MS Data'!AG30&lt;'ICP-MS Total Metals'!AH$13,'ICP-MS Total Metals'!AH$17,'RAW ICP-MS Data'!AG30*50/'ICP-MS Total Metals'!$B34)</f>
        <v>0</v>
      </c>
      <c r="AI34" s="46">
        <f>IF('RAW ICP-MS Data'!AH30&lt;'ICP-MS Total Metals'!AI$13,'ICP-MS Total Metals'!AI$17,'RAW ICP-MS Data'!AH30*50/'ICP-MS Total Metals'!$B34)</f>
        <v>0</v>
      </c>
      <c r="AJ34" s="46">
        <f>IF('RAW ICP-MS Data'!AI30&lt;'ICP-MS Total Metals'!AJ$13,'ICP-MS Total Metals'!AJ$17,'RAW ICP-MS Data'!AI30*50/'ICP-MS Total Metals'!$B34)</f>
        <v>0</v>
      </c>
      <c r="AK34" s="46">
        <f>IF('RAW ICP-MS Data'!AJ30&lt;'ICP-MS Total Metals'!AK$13,'ICP-MS Total Metals'!AK$17,'RAW ICP-MS Data'!AJ30*50/'ICP-MS Total Metals'!$B34)</f>
        <v>0</v>
      </c>
      <c r="AL34" s="46">
        <f>IF('RAW ICP-MS Data'!AK30&lt;'ICP-MS Total Metals'!AL$13,'ICP-MS Total Metals'!AL$17,'RAW ICP-MS Data'!AK30*50/'ICP-MS Total Metals'!$B34)</f>
        <v>13189.000011345823</v>
      </c>
      <c r="AM34" s="46">
        <f>IF('RAW ICP-MS Data'!AL30&lt;'ICP-MS Total Metals'!AM$13,'ICP-MS Total Metals'!AM$17,'RAW ICP-MS Data'!AL30*50/'ICP-MS Total Metals'!$B34)</f>
        <v>0</v>
      </c>
      <c r="AN34" s="46">
        <f>IF('RAW ICP-MS Data'!AM30&lt;'ICP-MS Total Metals'!AN$13,'ICP-MS Total Metals'!AN$17,'RAW ICP-MS Data'!AM30*50/'ICP-MS Total Metals'!$B34)</f>
        <v>0</v>
      </c>
    </row>
    <row r="35" spans="1:41" s="22" customFormat="1" ht="15.75" thickBot="1" x14ac:dyDescent="0.25">
      <c r="A35" s="51">
        <f>'Raw ICP-OES Data'!A31</f>
        <v>0</v>
      </c>
      <c r="B35" s="108">
        <v>0.49919999999999998</v>
      </c>
      <c r="C35" s="46">
        <f>IF('RAW ICP-MS Data'!B31&lt;'ICP-MS Total Metals'!C$13,'ICP-MS Total Metals'!C$17,'RAW ICP-MS Data'!B31*50/'ICP-MS Total Metals'!$B35)</f>
        <v>763.55562132686305</v>
      </c>
      <c r="D35" s="46">
        <f>IF('RAW ICP-MS Data'!C31&lt;'ICP-MS Total Metals'!D$13,'ICP-MS Total Metals'!D$17,'RAW ICP-MS Data'!C31*50/'ICP-MS Total Metals'!$B35)</f>
        <v>1290.7357391060798</v>
      </c>
      <c r="E35" s="46">
        <f>IF('RAW ICP-MS Data'!D31&lt;'ICP-MS Total Metals'!E$13,'ICP-MS Total Metals'!E$17,'RAW ICP-MS Data'!D31*50/'ICP-MS Total Metals'!$B35)</f>
        <v>527.0904238578205</v>
      </c>
      <c r="F35" s="46">
        <f>IF('RAW ICP-MS Data'!E31&lt;'ICP-MS Total Metals'!F$13,'ICP-MS Total Metals'!F$17,'RAW ICP-MS Data'!E31*50/'ICP-MS Total Metals'!$B35)</f>
        <v>1092.2156673448319</v>
      </c>
      <c r="G35" s="46">
        <f>IF('RAW ICP-MS Data'!F31&lt;'ICP-MS Total Metals'!G$13,'ICP-MS Total Metals'!G$17,'RAW ICP-MS Data'!F31*50/'ICP-MS Total Metals'!$B35)</f>
        <v>3879.7830683401139</v>
      </c>
      <c r="H35" s="46">
        <f>IF('RAW ICP-MS Data'!G31&lt;'ICP-MS Total Metals'!H$13,'ICP-MS Total Metals'!H$17,'RAW ICP-MS Data'!G31*50/'ICP-MS Total Metals'!$B35)</f>
        <v>851.31410962515031</v>
      </c>
      <c r="I35" s="46">
        <f>IF('RAW ICP-MS Data'!H31&lt;'ICP-MS Total Metals'!I$13,'ICP-MS Total Metals'!I$17,'RAW ICP-MS Data'!H31*50/'ICP-MS Total Metals'!$B35)</f>
        <v>38.472615993242684</v>
      </c>
      <c r="J35" s="46">
        <f>IF('RAW ICP-MS Data'!I31&lt;'ICP-MS Total Metals'!J$13,'ICP-MS Total Metals'!J$17,'RAW ICP-MS Data'!I31*50/'ICP-MS Total Metals'!$B35)</f>
        <v>1.7307932640961741</v>
      </c>
      <c r="K35" s="46">
        <f>IF('RAW ICP-MS Data'!J31&lt;'ICP-MS Total Metals'!K$13,'ICP-MS Total Metals'!K$17,'RAW ICP-MS Data'!J31*50/'ICP-MS Total Metals'!$B35)</f>
        <v>60690.647780527848</v>
      </c>
      <c r="L35" s="46">
        <f>IF('RAW ICP-MS Data'!K31&lt;'ICP-MS Total Metals'!L$13,'ICP-MS Total Metals'!L$17,'RAW ICP-MS Data'!K31*50/'ICP-MS Total Metals'!$B35)</f>
        <v>38.315399624423485</v>
      </c>
      <c r="M35" s="46">
        <f>IF('RAW ICP-MS Data'!L31&lt;'ICP-MS Total Metals'!M$13,'ICP-MS Total Metals'!M$17,'RAW ICP-MS Data'!L31*50/'ICP-MS Total Metals'!$B35)</f>
        <v>247.3396907573518</v>
      </c>
      <c r="N35" s="46">
        <f>IF('RAW ICP-MS Data'!M31&lt;'ICP-MS Total Metals'!N$13,'ICP-MS Total Metals'!N$17,'RAW ICP-MS Data'!M31*50/'ICP-MS Total Metals'!$B35)</f>
        <v>3378.906798720303</v>
      </c>
      <c r="O35" s="46">
        <f>IF('RAW ICP-MS Data'!N31&lt;'ICP-MS Total Metals'!O$13,'ICP-MS Total Metals'!O$17,'RAW ICP-MS Data'!N31*50/'ICP-MS Total Metals'!$B35)</f>
        <v>4443.3068777571625</v>
      </c>
      <c r="P35" s="46">
        <f>IF('RAW ICP-MS Data'!O31&lt;'ICP-MS Total Metals'!P$13,'ICP-MS Total Metals'!P$17,'RAW ICP-MS Data'!O31*50/'ICP-MS Total Metals'!$B35)</f>
        <v>961.46814653317324</v>
      </c>
      <c r="Q35" s="46">
        <f>IF('RAW ICP-MS Data'!P31&lt;'ICP-MS Total Metals'!Q$13,'ICP-MS Total Metals'!Q$17,'RAW ICP-MS Data'!P31*50/'ICP-MS Total Metals'!$B35)</f>
        <v>4284.5470547634923</v>
      </c>
      <c r="R35" s="46">
        <f>IF('RAW ICP-MS Data'!Q31&lt;'ICP-MS Total Metals'!R$13,'ICP-MS Total Metals'!R$17,'RAW ICP-MS Data'!Q31*50/'ICP-MS Total Metals'!$B35)</f>
        <v>873.41848634242194</v>
      </c>
      <c r="S35" s="46">
        <f>IF('RAW ICP-MS Data'!R31&lt;'ICP-MS Total Metals'!S$13,'ICP-MS Total Metals'!S$17,'RAW ICP-MS Data'!R31*50/'ICP-MS Total Metals'!$B35)</f>
        <v>184.56245085080431</v>
      </c>
      <c r="T35" s="46">
        <f>IF('RAW ICP-MS Data'!S31&lt;'ICP-MS Total Metals'!T$13,'ICP-MS Total Metals'!T$17,'RAW ICP-MS Data'!S31*50/'ICP-MS Total Metals'!$B35)</f>
        <v>960.65774957112399</v>
      </c>
      <c r="U35" s="46">
        <f>IF('RAW ICP-MS Data'!T31&lt;'ICP-MS Total Metals'!U$13,'ICP-MS Total Metals'!U$17,'RAW ICP-MS Data'!T31*50/'ICP-MS Total Metals'!$B35)</f>
        <v>72.511304997293365</v>
      </c>
      <c r="V35" s="46">
        <f>IF('RAW ICP-MS Data'!U31&lt;'ICP-MS Total Metals'!V$13,'ICP-MS Total Metals'!V$17,'RAW ICP-MS Data'!U31*50/'ICP-MS Total Metals'!$B35)</f>
        <v>555.14199159203929</v>
      </c>
      <c r="W35" s="46">
        <f>IF('RAW ICP-MS Data'!V31&lt;'ICP-MS Total Metals'!W$13,'ICP-MS Total Metals'!W$17,'RAW ICP-MS Data'!V31*50/'ICP-MS Total Metals'!$B35)</f>
        <v>111.405516654994</v>
      </c>
      <c r="X35" s="46">
        <f>IF('RAW ICP-MS Data'!W31&lt;'ICP-MS Total Metals'!X$13,'ICP-MS Total Metals'!X$17,'RAW ICP-MS Data'!W31*50/'ICP-MS Total Metals'!$B35)</f>
        <v>266.33204475688206</v>
      </c>
      <c r="Y35" s="46">
        <f>IF('RAW ICP-MS Data'!X31&lt;'ICP-MS Total Metals'!Y$13,'ICP-MS Total Metals'!Y$17,'RAW ICP-MS Data'!X31*50/'ICP-MS Total Metals'!$B35)</f>
        <v>28.988917006477465</v>
      </c>
      <c r="Z35" s="46">
        <f>IF('RAW ICP-MS Data'!Y31&lt;'ICP-MS Total Metals'!Z$13,'ICP-MS Total Metals'!Z$17,'RAW ICP-MS Data'!Y31*50/'ICP-MS Total Metals'!$B35)</f>
        <v>162.85884737120693</v>
      </c>
      <c r="AA35" s="46">
        <f>IF('RAW ICP-MS Data'!Z31&lt;'ICP-MS Total Metals'!AA$13,'ICP-MS Total Metals'!AA$17,'RAW ICP-MS Data'!Z31*50/'ICP-MS Total Metals'!$B35)</f>
        <v>22.234546559636417</v>
      </c>
      <c r="AB35" s="46">
        <f>IF('RAW ICP-MS Data'!AA31&lt;'ICP-MS Total Metals'!AB$13,'ICP-MS Total Metals'!AB$17,'RAW ICP-MS Data'!AA31*50/'ICP-MS Total Metals'!$B35)</f>
        <v>39.505304278782347</v>
      </c>
      <c r="AC35" s="46">
        <f>IF('RAW ICP-MS Data'!AB31&lt;'ICP-MS Total Metals'!AC$13,'ICP-MS Total Metals'!AC$17,'RAW ICP-MS Data'!AB31*50/'ICP-MS Total Metals'!$B35)</f>
        <v>6.0178280746365376</v>
      </c>
      <c r="AD35" s="46">
        <f>IF('RAW ICP-MS Data'!AC31&lt;'ICP-MS Total Metals'!AD$13,'ICP-MS Total Metals'!AD$17,'RAW ICP-MS Data'!AC31*50/'ICP-MS Total Metals'!$B35)</f>
        <v>34.210902685877407</v>
      </c>
      <c r="AE35" s="46">
        <f>IF('RAW ICP-MS Data'!AD31&lt;'ICP-MS Total Metals'!AE$13,'ICP-MS Total Metals'!AE$17,'RAW ICP-MS Data'!AD31*50/'ICP-MS Total Metals'!$B35)</f>
        <v>269.95939033799982</v>
      </c>
      <c r="AF35" s="46">
        <f>IF('RAW ICP-MS Data'!AE31&lt;'ICP-MS Total Metals'!AF$13,'ICP-MS Total Metals'!AF$17,'RAW ICP-MS Data'!AE31*50/'ICP-MS Total Metals'!$B35)</f>
        <v>586.27754561441111</v>
      </c>
      <c r="AG35" s="46">
        <f>IF('RAW ICP-MS Data'!AF31&lt;'ICP-MS Total Metals'!AG$13,'ICP-MS Total Metals'!AG$17,'RAW ICP-MS Data'!AF31*50/'ICP-MS Total Metals'!$B35)</f>
        <v>992.71540888174093</v>
      </c>
      <c r="AH35" s="46">
        <f>IF('RAW ICP-MS Data'!AG31&lt;'ICP-MS Total Metals'!AH$13,'ICP-MS Total Metals'!AH$17,'RAW ICP-MS Data'!AG31*50/'ICP-MS Total Metals'!$B35)</f>
        <v>0</v>
      </c>
      <c r="AI35" s="46">
        <f>IF('RAW ICP-MS Data'!AH31&lt;'ICP-MS Total Metals'!AI$13,'ICP-MS Total Metals'!AI$17,'RAW ICP-MS Data'!AH31*50/'ICP-MS Total Metals'!$B35)</f>
        <v>76.560067541590243</v>
      </c>
      <c r="AJ35" s="46">
        <f>IF('RAW ICP-MS Data'!AI31&lt;'ICP-MS Total Metals'!AJ$13,'ICP-MS Total Metals'!AJ$17,'RAW ICP-MS Data'!AI31*50/'ICP-MS Total Metals'!$B35)</f>
        <v>407.43742136514527</v>
      </c>
      <c r="AK35" s="46">
        <f>IF('RAW ICP-MS Data'!AJ31&lt;'ICP-MS Total Metals'!AK$13,'ICP-MS Total Metals'!AK$17,'RAW ICP-MS Data'!AJ31*50/'ICP-MS Total Metals'!$B35)</f>
        <v>87.268364895581541</v>
      </c>
      <c r="AL35" s="46">
        <f>IF('RAW ICP-MS Data'!AK31&lt;'ICP-MS Total Metals'!AL$13,'ICP-MS Total Metals'!AL$17,'RAW ICP-MS Data'!AK31*50/'ICP-MS Total Metals'!$B35)</f>
        <v>52152.64813211919</v>
      </c>
      <c r="AM35" s="46">
        <f>IF('RAW ICP-MS Data'!AL31&lt;'ICP-MS Total Metals'!AM$13,'ICP-MS Total Metals'!AM$17,'RAW ICP-MS Data'!AL31*50/'ICP-MS Total Metals'!$B35)</f>
        <v>1490.3665143395235</v>
      </c>
      <c r="AN35" s="46">
        <f>IF('RAW ICP-MS Data'!AM31&lt;'ICP-MS Total Metals'!AN$13,'ICP-MS Total Metals'!AN$17,'RAW ICP-MS Data'!AM31*50/'ICP-MS Total Metals'!$B35)</f>
        <v>0</v>
      </c>
    </row>
    <row r="36" spans="1:41" s="22" customFormat="1" ht="15.75" thickBot="1" x14ac:dyDescent="0.25">
      <c r="A36" s="51">
        <f>'Raw ICP-OES Data'!A32</f>
        <v>0</v>
      </c>
      <c r="B36" s="108">
        <v>0.49909999999999999</v>
      </c>
      <c r="C36" s="46">
        <f>IF('RAW ICP-MS Data'!B32&lt;'ICP-MS Total Metals'!C$13,'ICP-MS Total Metals'!C$17,'RAW ICP-MS Data'!B32*50/'ICP-MS Total Metals'!$B36)</f>
        <v>841.39835470695255</v>
      </c>
      <c r="D36" s="46">
        <f>IF('RAW ICP-MS Data'!C32&lt;'ICP-MS Total Metals'!D$13,'ICP-MS Total Metals'!D$17,'RAW ICP-MS Data'!C32*50/'ICP-MS Total Metals'!$B36)</f>
        <v>4466.7337327116211</v>
      </c>
      <c r="E36" s="46">
        <f>IF('RAW ICP-MS Data'!D32&lt;'ICP-MS Total Metals'!E$13,'ICP-MS Total Metals'!E$17,'RAW ICP-MS Data'!D32*50/'ICP-MS Total Metals'!$B36)</f>
        <v>2536.6059620635642</v>
      </c>
      <c r="F36" s="46">
        <f>IF('RAW ICP-MS Data'!E32&lt;'ICP-MS Total Metals'!F$13,'ICP-MS Total Metals'!F$17,'RAW ICP-MS Data'!E32*50/'ICP-MS Total Metals'!$B36)</f>
        <v>1258.2878261852034</v>
      </c>
      <c r="G36" s="46">
        <f>IF('RAW ICP-MS Data'!F32&lt;'ICP-MS Total Metals'!G$13,'ICP-MS Total Metals'!G$17,'RAW ICP-MS Data'!F32*50/'ICP-MS Total Metals'!$B36)</f>
        <v>5847.2790099671602</v>
      </c>
      <c r="H36" s="46">
        <f>IF('RAW ICP-MS Data'!G32&lt;'ICP-MS Total Metals'!H$13,'ICP-MS Total Metals'!H$17,'RAW ICP-MS Data'!G32*50/'ICP-MS Total Metals'!$B36)</f>
        <v>1118.6214558267782</v>
      </c>
      <c r="I36" s="46">
        <f>IF('RAW ICP-MS Data'!H32&lt;'ICP-MS Total Metals'!I$13,'ICP-MS Total Metals'!I$17,'RAW ICP-MS Data'!H32*50/'ICP-MS Total Metals'!$B36)</f>
        <v>133.94572177762771</v>
      </c>
      <c r="J36" s="46">
        <f>IF('RAW ICP-MS Data'!I32&lt;'ICP-MS Total Metals'!J$13,'ICP-MS Total Metals'!J$17,'RAW ICP-MS Data'!I32*50/'ICP-MS Total Metals'!$B36)</f>
        <v>9.6108269817725827</v>
      </c>
      <c r="K36" s="46">
        <f>IF('RAW ICP-MS Data'!J32&lt;'ICP-MS Total Metals'!K$13,'ICP-MS Total Metals'!K$17,'RAW ICP-MS Data'!J32*50/'ICP-MS Total Metals'!$B36)</f>
        <v>668619.31738510611</v>
      </c>
      <c r="L36" s="46">
        <f>IF('RAW ICP-MS Data'!K32&lt;'ICP-MS Total Metals'!L$13,'ICP-MS Total Metals'!L$17,'RAW ICP-MS Data'!K32*50/'ICP-MS Total Metals'!$B36)</f>
        <v>24.554805367699455</v>
      </c>
      <c r="M36" s="46">
        <f>IF('RAW ICP-MS Data'!L32&lt;'ICP-MS Total Metals'!M$13,'ICP-MS Total Metals'!M$17,'RAW ICP-MS Data'!L32*50/'ICP-MS Total Metals'!$B36)</f>
        <v>333.78566692455814</v>
      </c>
      <c r="N36" s="46">
        <f>IF('RAW ICP-MS Data'!M32&lt;'ICP-MS Total Metals'!N$13,'ICP-MS Total Metals'!N$17,'RAW ICP-MS Data'!M32*50/'ICP-MS Total Metals'!$B36)</f>
        <v>5036.0513755137354</v>
      </c>
      <c r="O36" s="46">
        <f>IF('RAW ICP-MS Data'!N32&lt;'ICP-MS Total Metals'!O$13,'ICP-MS Total Metals'!O$17,'RAW ICP-MS Data'!N32*50/'ICP-MS Total Metals'!$B36)</f>
        <v>7422.6751206024755</v>
      </c>
      <c r="P36" s="46">
        <f>IF('RAW ICP-MS Data'!O32&lt;'ICP-MS Total Metals'!P$13,'ICP-MS Total Metals'!P$17,'RAW ICP-MS Data'!O32*50/'ICP-MS Total Metals'!$B36)</f>
        <v>1495.9435083815167</v>
      </c>
      <c r="Q36" s="46">
        <f>IF('RAW ICP-MS Data'!P32&lt;'ICP-MS Total Metals'!Q$13,'ICP-MS Total Metals'!Q$17,'RAW ICP-MS Data'!P32*50/'ICP-MS Total Metals'!$B36)</f>
        <v>6461.9401821888196</v>
      </c>
      <c r="R36" s="46">
        <f>IF('RAW ICP-MS Data'!Q32&lt;'ICP-MS Total Metals'!R$13,'ICP-MS Total Metals'!R$17,'RAW ICP-MS Data'!Q32*50/'ICP-MS Total Metals'!$B36)</f>
        <v>1319.076961082779</v>
      </c>
      <c r="S36" s="46">
        <f>IF('RAW ICP-MS Data'!R32&lt;'ICP-MS Total Metals'!S$13,'ICP-MS Total Metals'!S$17,'RAW ICP-MS Data'!R32*50/'ICP-MS Total Metals'!$B36)</f>
        <v>274.29768178286014</v>
      </c>
      <c r="T36" s="46">
        <f>IF('RAW ICP-MS Data'!S32&lt;'ICP-MS Total Metals'!T$13,'ICP-MS Total Metals'!T$17,'RAW ICP-MS Data'!S32*50/'ICP-MS Total Metals'!$B36)</f>
        <v>1439.9824900542178</v>
      </c>
      <c r="U36" s="46">
        <f>IF('RAW ICP-MS Data'!T32&lt;'ICP-MS Total Metals'!U$13,'ICP-MS Total Metals'!U$17,'RAW ICP-MS Data'!T32*50/'ICP-MS Total Metals'!$B36)</f>
        <v>130.43336773377479</v>
      </c>
      <c r="V36" s="46">
        <f>IF('RAW ICP-MS Data'!U32&lt;'ICP-MS Total Metals'!V$13,'ICP-MS Total Metals'!V$17,'RAW ICP-MS Data'!U32*50/'ICP-MS Total Metals'!$B36)</f>
        <v>858.86920118986279</v>
      </c>
      <c r="W36" s="46">
        <f>IF('RAW ICP-MS Data'!V32&lt;'ICP-MS Total Metals'!W$13,'ICP-MS Total Metals'!W$17,'RAW ICP-MS Data'!V32*50/'ICP-MS Total Metals'!$B36)</f>
        <v>160.15720750392509</v>
      </c>
      <c r="X36" s="46">
        <f>IF('RAW ICP-MS Data'!W32&lt;'ICP-MS Total Metals'!X$13,'ICP-MS Total Metals'!X$17,'RAW ICP-MS Data'!W32*50/'ICP-MS Total Metals'!$B36)</f>
        <v>421.04085958271588</v>
      </c>
      <c r="Y36" s="46">
        <f>IF('RAW ICP-MS Data'!X32&lt;'ICP-MS Total Metals'!Y$13,'ICP-MS Total Metals'!Y$17,'RAW ICP-MS Data'!X32*50/'ICP-MS Total Metals'!$B36)</f>
        <v>50.16143885855049</v>
      </c>
      <c r="Z36" s="46">
        <f>IF('RAW ICP-MS Data'!Y32&lt;'ICP-MS Total Metals'!Z$13,'ICP-MS Total Metals'!Z$17,'RAW ICP-MS Data'!Y32*50/'ICP-MS Total Metals'!$B36)</f>
        <v>266.76142290928169</v>
      </c>
      <c r="AA36" s="46">
        <f>IF('RAW ICP-MS Data'!Z32&lt;'ICP-MS Total Metals'!AA$13,'ICP-MS Total Metals'!AA$17,'RAW ICP-MS Data'!Z32*50/'ICP-MS Total Metals'!$B36)</f>
        <v>37.082976622894911</v>
      </c>
      <c r="AB36" s="46">
        <f>IF('RAW ICP-MS Data'!AA32&lt;'ICP-MS Total Metals'!AB$13,'ICP-MS Total Metals'!AB$17,'RAW ICP-MS Data'!AA32*50/'ICP-MS Total Metals'!$B36)</f>
        <v>42.387706997859148</v>
      </c>
      <c r="AC36" s="46">
        <f>IF('RAW ICP-MS Data'!AB32&lt;'ICP-MS Total Metals'!AC$13,'ICP-MS Total Metals'!AC$17,'RAW ICP-MS Data'!AB32*50/'ICP-MS Total Metals'!$B36)</f>
        <v>5.3794469057396119</v>
      </c>
      <c r="AD36" s="46">
        <f>IF('RAW ICP-MS Data'!AC32&lt;'ICP-MS Total Metals'!AD$13,'ICP-MS Total Metals'!AD$17,'RAW ICP-MS Data'!AC32*50/'ICP-MS Total Metals'!$B36)</f>
        <v>219.26133072519036</v>
      </c>
      <c r="AE36" s="46">
        <f>IF('RAW ICP-MS Data'!AD32&lt;'ICP-MS Total Metals'!AE$13,'ICP-MS Total Metals'!AE$17,'RAW ICP-MS Data'!AD32*50/'ICP-MS Total Metals'!$B36)</f>
        <v>261.97248011425268</v>
      </c>
      <c r="AF36" s="46">
        <f>IF('RAW ICP-MS Data'!AE32&lt;'ICP-MS Total Metals'!AF$13,'ICP-MS Total Metals'!AF$17,'RAW ICP-MS Data'!AE32*50/'ICP-MS Total Metals'!$B36)</f>
        <v>784.74048607304746</v>
      </c>
      <c r="AG36" s="46">
        <f>IF('RAW ICP-MS Data'!AF32&lt;'ICP-MS Total Metals'!AG$13,'ICP-MS Total Metals'!AG$17,'RAW ICP-MS Data'!AF32*50/'ICP-MS Total Metals'!$B36)</f>
        <v>1008.6760798442397</v>
      </c>
      <c r="AH36" s="46">
        <f>IF('RAW ICP-MS Data'!AG32&lt;'ICP-MS Total Metals'!AH$13,'ICP-MS Total Metals'!AH$17,'RAW ICP-MS Data'!AG32*50/'ICP-MS Total Metals'!$B36)</f>
        <v>0</v>
      </c>
      <c r="AI36" s="46">
        <f>IF('RAW ICP-MS Data'!AH32&lt;'ICP-MS Total Metals'!AI$13,'ICP-MS Total Metals'!AI$17,'RAW ICP-MS Data'!AH32*50/'ICP-MS Total Metals'!$B36)</f>
        <v>0</v>
      </c>
      <c r="AJ36" s="46">
        <f>IF('RAW ICP-MS Data'!AI32&lt;'ICP-MS Total Metals'!AJ$13,'ICP-MS Total Metals'!AJ$17,'RAW ICP-MS Data'!AI32*50/'ICP-MS Total Metals'!$B36)</f>
        <v>100.77921305845622</v>
      </c>
      <c r="AK36" s="46">
        <f>IF('RAW ICP-MS Data'!AJ32&lt;'ICP-MS Total Metals'!AK$13,'ICP-MS Total Metals'!AK$17,'RAW ICP-MS Data'!AJ32*50/'ICP-MS Total Metals'!$B36)</f>
        <v>0</v>
      </c>
      <c r="AL36" s="46">
        <f>IF('RAW ICP-MS Data'!AK32&lt;'ICP-MS Total Metals'!AL$13,'ICP-MS Total Metals'!AL$17,'RAW ICP-MS Data'!AK32*50/'ICP-MS Total Metals'!$B36)</f>
        <v>32257.994431931882</v>
      </c>
      <c r="AM36" s="46">
        <f>IF('RAW ICP-MS Data'!AL32&lt;'ICP-MS Total Metals'!AM$13,'ICP-MS Total Metals'!AM$17,'RAW ICP-MS Data'!AL32*50/'ICP-MS Total Metals'!$B36)</f>
        <v>0</v>
      </c>
      <c r="AN36" s="46">
        <f>IF('RAW ICP-MS Data'!AM32&lt;'ICP-MS Total Metals'!AN$13,'ICP-MS Total Metals'!AN$17,'RAW ICP-MS Data'!AM32*50/'ICP-MS Total Metals'!$B36)</f>
        <v>0</v>
      </c>
    </row>
    <row r="37" spans="1:41" s="22" customFormat="1" ht="15.75" thickBot="1" x14ac:dyDescent="0.25">
      <c r="A37" s="51">
        <f>'Raw ICP-OES Data'!A33</f>
        <v>0</v>
      </c>
      <c r="B37" s="108">
        <v>0.50129999999999997</v>
      </c>
      <c r="C37" s="46">
        <f>IF('RAW ICP-MS Data'!B33&lt;'ICP-MS Total Metals'!C$13,'ICP-MS Total Metals'!C$17,'RAW ICP-MS Data'!B33*50/'ICP-MS Total Metals'!$B37)</f>
        <v>689.02064223257537</v>
      </c>
      <c r="D37" s="46">
        <f>IF('RAW ICP-MS Data'!C33&lt;'ICP-MS Total Metals'!D$13,'ICP-MS Total Metals'!D$17,'RAW ICP-MS Data'!C33*50/'ICP-MS Total Metals'!$B37)</f>
        <v>5761.0940615850686</v>
      </c>
      <c r="E37" s="46">
        <f>IF('RAW ICP-MS Data'!D33&lt;'ICP-MS Total Metals'!E$13,'ICP-MS Total Metals'!E$17,'RAW ICP-MS Data'!D33*50/'ICP-MS Total Metals'!$B37)</f>
        <v>2030.9524407119093</v>
      </c>
      <c r="F37" s="46">
        <f>IF('RAW ICP-MS Data'!E33&lt;'ICP-MS Total Metals'!F$13,'ICP-MS Total Metals'!F$17,'RAW ICP-MS Data'!E33*50/'ICP-MS Total Metals'!$B37)</f>
        <v>1789.2449422224317</v>
      </c>
      <c r="G37" s="46">
        <f>IF('RAW ICP-MS Data'!F33&lt;'ICP-MS Total Metals'!G$13,'ICP-MS Total Metals'!G$17,'RAW ICP-MS Data'!F33*50/'ICP-MS Total Metals'!$B37)</f>
        <v>4703.0307059158586</v>
      </c>
      <c r="H37" s="46">
        <f>IF('RAW ICP-MS Data'!G33&lt;'ICP-MS Total Metals'!H$13,'ICP-MS Total Metals'!H$17,'RAW ICP-MS Data'!G33*50/'ICP-MS Total Metals'!$B37)</f>
        <v>1150.0445077390386</v>
      </c>
      <c r="I37" s="46">
        <f>IF('RAW ICP-MS Data'!H33&lt;'ICP-MS Total Metals'!I$13,'ICP-MS Total Metals'!I$17,'RAW ICP-MS Data'!H33*50/'ICP-MS Total Metals'!$B37)</f>
        <v>106.15492101684023</v>
      </c>
      <c r="J37" s="46">
        <f>IF('RAW ICP-MS Data'!I33&lt;'ICP-MS Total Metals'!J$13,'ICP-MS Total Metals'!J$17,'RAW ICP-MS Data'!I33*50/'ICP-MS Total Metals'!$B37)</f>
        <v>35.747312090236093</v>
      </c>
      <c r="K37" s="46">
        <f>IF('RAW ICP-MS Data'!J33&lt;'ICP-MS Total Metals'!K$13,'ICP-MS Total Metals'!K$17,'RAW ICP-MS Data'!J33*50/'ICP-MS Total Metals'!$B37)</f>
        <v>554612.45991783764</v>
      </c>
      <c r="L37" s="46">
        <f>IF('RAW ICP-MS Data'!K33&lt;'ICP-MS Total Metals'!L$13,'ICP-MS Total Metals'!L$17,'RAW ICP-MS Data'!K33*50/'ICP-MS Total Metals'!$B37)</f>
        <v>38.3775271225783</v>
      </c>
      <c r="M37" s="46">
        <f>IF('RAW ICP-MS Data'!L33&lt;'ICP-MS Total Metals'!M$13,'ICP-MS Total Metals'!M$17,'RAW ICP-MS Data'!L33*50/'ICP-MS Total Metals'!$B37)</f>
        <v>345.44765186382011</v>
      </c>
      <c r="N37" s="46">
        <f>IF('RAW ICP-MS Data'!M33&lt;'ICP-MS Total Metals'!N$13,'ICP-MS Total Metals'!N$17,'RAW ICP-MS Data'!M33*50/'ICP-MS Total Metals'!$B37)</f>
        <v>4304.0569965672157</v>
      </c>
      <c r="O37" s="46">
        <f>IF('RAW ICP-MS Data'!N33&lt;'ICP-MS Total Metals'!O$13,'ICP-MS Total Metals'!O$17,'RAW ICP-MS Data'!N33*50/'ICP-MS Total Metals'!$B37)</f>
        <v>6676.5826045435579</v>
      </c>
      <c r="P37" s="46">
        <f>IF('RAW ICP-MS Data'!O33&lt;'ICP-MS Total Metals'!P$13,'ICP-MS Total Metals'!P$17,'RAW ICP-MS Data'!O33*50/'ICP-MS Total Metals'!$B37)</f>
        <v>1258.9919678253443</v>
      </c>
      <c r="Q37" s="46">
        <f>IF('RAW ICP-MS Data'!P33&lt;'ICP-MS Total Metals'!Q$13,'ICP-MS Total Metals'!Q$17,'RAW ICP-MS Data'!P33*50/'ICP-MS Total Metals'!$B37)</f>
        <v>5424.7157526591172</v>
      </c>
      <c r="R37" s="46">
        <f>IF('RAW ICP-MS Data'!Q33&lt;'ICP-MS Total Metals'!R$13,'ICP-MS Total Metals'!R$17,'RAW ICP-MS Data'!Q33*50/'ICP-MS Total Metals'!$B37)</f>
        <v>1077.0748905516957</v>
      </c>
      <c r="S37" s="46">
        <f>IF('RAW ICP-MS Data'!R33&lt;'ICP-MS Total Metals'!S$13,'ICP-MS Total Metals'!S$17,'RAW ICP-MS Data'!R33*50/'ICP-MS Total Metals'!$B37)</f>
        <v>230.7149083256773</v>
      </c>
      <c r="T37" s="46">
        <f>IF('RAW ICP-MS Data'!S33&lt;'ICP-MS Total Metals'!T$13,'ICP-MS Total Metals'!T$17,'RAW ICP-MS Data'!S33*50/'ICP-MS Total Metals'!$B37)</f>
        <v>1214.274890262777</v>
      </c>
      <c r="U37" s="46">
        <f>IF('RAW ICP-MS Data'!T33&lt;'ICP-MS Total Metals'!U$13,'ICP-MS Total Metals'!U$17,'RAW ICP-MS Data'!T33*50/'ICP-MS Total Metals'!$B37)</f>
        <v>101.09280094779572</v>
      </c>
      <c r="V37" s="46">
        <f>IF('RAW ICP-MS Data'!U33&lt;'ICP-MS Total Metals'!V$13,'ICP-MS Total Metals'!V$17,'RAW ICP-MS Data'!U33*50/'ICP-MS Total Metals'!$B37)</f>
        <v>670.05497759145828</v>
      </c>
      <c r="W37" s="46">
        <f>IF('RAW ICP-MS Data'!V33&lt;'ICP-MS Total Metals'!W$13,'ICP-MS Total Metals'!W$17,'RAW ICP-MS Data'!V33*50/'ICP-MS Total Metals'!$B37)</f>
        <v>129.44960769116</v>
      </c>
      <c r="X37" s="46">
        <f>IF('RAW ICP-MS Data'!W33&lt;'ICP-MS Total Metals'!X$13,'ICP-MS Total Metals'!X$17,'RAW ICP-MS Data'!W33*50/'ICP-MS Total Metals'!$B37)</f>
        <v>338.14352368199582</v>
      </c>
      <c r="Y37" s="46">
        <f>IF('RAW ICP-MS Data'!X33&lt;'ICP-MS Total Metals'!Y$13,'ICP-MS Total Metals'!Y$17,'RAW ICP-MS Data'!X33*50/'ICP-MS Total Metals'!$B37)</f>
        <v>38.425106812822165</v>
      </c>
      <c r="Z37" s="46">
        <f>IF('RAW ICP-MS Data'!Y33&lt;'ICP-MS Total Metals'!Z$13,'ICP-MS Total Metals'!Z$17,'RAW ICP-MS Data'!Y33*50/'ICP-MS Total Metals'!$B37)</f>
        <v>209.19916631548875</v>
      </c>
      <c r="AA37" s="46">
        <f>IF('RAW ICP-MS Data'!Z33&lt;'ICP-MS Total Metals'!AA$13,'ICP-MS Total Metals'!AA$17,'RAW ICP-MS Data'!Z33*50/'ICP-MS Total Metals'!$B37)</f>
        <v>30.944484713350192</v>
      </c>
      <c r="AB37" s="46">
        <f>IF('RAW ICP-MS Data'!AA33&lt;'ICP-MS Total Metals'!AB$13,'ICP-MS Total Metals'!AB$17,'RAW ICP-MS Data'!AA33*50/'ICP-MS Total Metals'!$B37)</f>
        <v>39.935181899601936</v>
      </c>
      <c r="AC37" s="46">
        <f>IF('RAW ICP-MS Data'!AB33&lt;'ICP-MS Total Metals'!AC$13,'ICP-MS Total Metals'!AC$17,'RAW ICP-MS Data'!AB33*50/'ICP-MS Total Metals'!$B37)</f>
        <v>5.0145815904030027</v>
      </c>
      <c r="AD37" s="46">
        <f>IF('RAW ICP-MS Data'!AC33&lt;'ICP-MS Total Metals'!AD$13,'ICP-MS Total Metals'!AD$17,'RAW ICP-MS Data'!AC33*50/'ICP-MS Total Metals'!$B37)</f>
        <v>152.1431951410772</v>
      </c>
      <c r="AE37" s="46">
        <f>IF('RAW ICP-MS Data'!AD33&lt;'ICP-MS Total Metals'!AE$13,'ICP-MS Total Metals'!AE$17,'RAW ICP-MS Data'!AD33*50/'ICP-MS Total Metals'!$B37)</f>
        <v>246.40358952376724</v>
      </c>
      <c r="AF37" s="46">
        <f>IF('RAW ICP-MS Data'!AE33&lt;'ICP-MS Total Metals'!AF$13,'ICP-MS Total Metals'!AF$17,'RAW ICP-MS Data'!AE33*50/'ICP-MS Total Metals'!$B37)</f>
        <v>666.26496441454412</v>
      </c>
      <c r="AG37" s="46">
        <f>IF('RAW ICP-MS Data'!AF33&lt;'ICP-MS Total Metals'!AG$13,'ICP-MS Total Metals'!AG$17,'RAW ICP-MS Data'!AF33*50/'ICP-MS Total Metals'!$B37)</f>
        <v>953.90866125501509</v>
      </c>
      <c r="AH37" s="46">
        <f>IF('RAW ICP-MS Data'!AG33&lt;'ICP-MS Total Metals'!AH$13,'ICP-MS Total Metals'!AH$17,'RAW ICP-MS Data'!AG33*50/'ICP-MS Total Metals'!$B37)</f>
        <v>0</v>
      </c>
      <c r="AI37" s="46">
        <f>IF('RAW ICP-MS Data'!AH33&lt;'ICP-MS Total Metals'!AI$13,'ICP-MS Total Metals'!AI$17,'RAW ICP-MS Data'!AH33*50/'ICP-MS Total Metals'!$B37)</f>
        <v>0</v>
      </c>
      <c r="AJ37" s="46">
        <f>IF('RAW ICP-MS Data'!AI33&lt;'ICP-MS Total Metals'!AJ$13,'ICP-MS Total Metals'!AJ$17,'RAW ICP-MS Data'!AI33*50/'ICP-MS Total Metals'!$B37)</f>
        <v>80.867112340923114</v>
      </c>
      <c r="AK37" s="46">
        <f>IF('RAW ICP-MS Data'!AJ33&lt;'ICP-MS Total Metals'!AK$13,'ICP-MS Total Metals'!AK$17,'RAW ICP-MS Data'!AJ33*50/'ICP-MS Total Metals'!$B37)</f>
        <v>0</v>
      </c>
      <c r="AL37" s="46">
        <f>IF('RAW ICP-MS Data'!AK33&lt;'ICP-MS Total Metals'!AL$13,'ICP-MS Total Metals'!AL$17,'RAW ICP-MS Data'!AK33*50/'ICP-MS Total Metals'!$B37)</f>
        <v>32106.654560967487</v>
      </c>
      <c r="AM37" s="46">
        <f>IF('RAW ICP-MS Data'!AL33&lt;'ICP-MS Total Metals'!AM$13,'ICP-MS Total Metals'!AM$17,'RAW ICP-MS Data'!AL33*50/'ICP-MS Total Metals'!$B37)</f>
        <v>0</v>
      </c>
      <c r="AN37" s="46">
        <f>IF('RAW ICP-MS Data'!AM33&lt;'ICP-MS Total Metals'!AN$13,'ICP-MS Total Metals'!AN$17,'RAW ICP-MS Data'!AM33*50/'ICP-MS Total Metals'!$B37)</f>
        <v>0</v>
      </c>
    </row>
    <row r="38" spans="1:41" s="22" customFormat="1" ht="15.75" thickBot="1" x14ac:dyDescent="0.25">
      <c r="A38" s="51">
        <f>'Raw ICP-OES Data'!A34</f>
        <v>0</v>
      </c>
      <c r="B38" s="108">
        <v>0.4995</v>
      </c>
      <c r="C38" s="46">
        <f>IF('RAW ICP-MS Data'!B34&lt;'ICP-MS Total Metals'!C$13,'ICP-MS Total Metals'!C$17,'RAW ICP-MS Data'!B34*50/'ICP-MS Total Metals'!$B38)</f>
        <v>708.3196277086646</v>
      </c>
      <c r="D38" s="46">
        <f>IF('RAW ICP-MS Data'!C34&lt;'ICP-MS Total Metals'!D$13,'ICP-MS Total Metals'!D$17,'RAW ICP-MS Data'!C34*50/'ICP-MS Total Metals'!$B38)</f>
        <v>3762.2873765948252</v>
      </c>
      <c r="E38" s="46">
        <f>IF('RAW ICP-MS Data'!D34&lt;'ICP-MS Total Metals'!E$13,'ICP-MS Total Metals'!E$17,'RAW ICP-MS Data'!D34*50/'ICP-MS Total Metals'!$B38)</f>
        <v>1998.7567144036439</v>
      </c>
      <c r="F38" s="46">
        <f>IF('RAW ICP-MS Data'!E34&lt;'ICP-MS Total Metals'!F$13,'ICP-MS Total Metals'!F$17,'RAW ICP-MS Data'!E34*50/'ICP-MS Total Metals'!$B38)</f>
        <v>1475.3816546857558</v>
      </c>
      <c r="G38" s="46">
        <f>IF('RAW ICP-MS Data'!F34&lt;'ICP-MS Total Metals'!G$13,'ICP-MS Total Metals'!G$17,'RAW ICP-MS Data'!F34*50/'ICP-MS Total Metals'!$B38)</f>
        <v>4880.5845821397697</v>
      </c>
      <c r="H38" s="46">
        <f>IF('RAW ICP-MS Data'!G34&lt;'ICP-MS Total Metals'!H$13,'ICP-MS Total Metals'!H$17,'RAW ICP-MS Data'!G34*50/'ICP-MS Total Metals'!$B38)</f>
        <v>1134.9987021741342</v>
      </c>
      <c r="I38" s="46">
        <f>IF('RAW ICP-MS Data'!H34&lt;'ICP-MS Total Metals'!I$13,'ICP-MS Total Metals'!I$17,'RAW ICP-MS Data'!H34*50/'ICP-MS Total Metals'!$B38)</f>
        <v>102.44772758302203</v>
      </c>
      <c r="J38" s="46" t="e">
        <f>IF('RAW ICP-MS Data'!I34&lt;'ICP-MS Total Metals'!J$13,'ICP-MS Total Metals'!J$17,'RAW ICP-MS Data'!I34*50/'ICP-MS Total Metals'!$B38)</f>
        <v>#VALUE!</v>
      </c>
      <c r="K38" s="46">
        <f>IF('RAW ICP-MS Data'!J34&lt;'ICP-MS Total Metals'!K$13,'ICP-MS Total Metals'!K$17,'RAW ICP-MS Data'!J34*50/'ICP-MS Total Metals'!$B38)</f>
        <v>1204542.0257849849</v>
      </c>
      <c r="L38" s="46">
        <f>IF('RAW ICP-MS Data'!K34&lt;'ICP-MS Total Metals'!L$13,'ICP-MS Total Metals'!L$17,'RAW ICP-MS Data'!K34*50/'ICP-MS Total Metals'!$B38)</f>
        <v>27.825151643414014</v>
      </c>
      <c r="M38" s="46">
        <f>IF('RAW ICP-MS Data'!L34&lt;'ICP-MS Total Metals'!M$13,'ICP-MS Total Metals'!M$17,'RAW ICP-MS Data'!L34*50/'ICP-MS Total Metals'!$B38)</f>
        <v>327.57803212036237</v>
      </c>
      <c r="N38" s="46">
        <f>IF('RAW ICP-MS Data'!M34&lt;'ICP-MS Total Metals'!N$13,'ICP-MS Total Metals'!N$17,'RAW ICP-MS Data'!M34*50/'ICP-MS Total Metals'!$B38)</f>
        <v>4499.0883938488687</v>
      </c>
      <c r="O38" s="46">
        <f>IF('RAW ICP-MS Data'!N34&lt;'ICP-MS Total Metals'!O$13,'ICP-MS Total Metals'!O$17,'RAW ICP-MS Data'!N34*50/'ICP-MS Total Metals'!$B38)</f>
        <v>7108.3652488481275</v>
      </c>
      <c r="P38" s="46">
        <f>IF('RAW ICP-MS Data'!O34&lt;'ICP-MS Total Metals'!P$13,'ICP-MS Total Metals'!P$17,'RAW ICP-MS Data'!O34*50/'ICP-MS Total Metals'!$B38)</f>
        <v>1319.2649190005604</v>
      </c>
      <c r="Q38" s="46">
        <f>IF('RAW ICP-MS Data'!P34&lt;'ICP-MS Total Metals'!Q$13,'ICP-MS Total Metals'!Q$17,'RAW ICP-MS Data'!P34*50/'ICP-MS Total Metals'!$B38)</f>
        <v>5738.7184486828128</v>
      </c>
      <c r="R38" s="46">
        <f>IF('RAW ICP-MS Data'!Q34&lt;'ICP-MS Total Metals'!R$13,'ICP-MS Total Metals'!R$17,'RAW ICP-MS Data'!Q34*50/'ICP-MS Total Metals'!$B38)</f>
        <v>1138.9513857136437</v>
      </c>
      <c r="S38" s="46">
        <f>IF('RAW ICP-MS Data'!R34&lt;'ICP-MS Total Metals'!S$13,'ICP-MS Total Metals'!S$17,'RAW ICP-MS Data'!R34*50/'ICP-MS Total Metals'!$B38)</f>
        <v>244.11811713484786</v>
      </c>
      <c r="T38" s="46">
        <f>IF('RAW ICP-MS Data'!S34&lt;'ICP-MS Total Metals'!T$13,'ICP-MS Total Metals'!T$17,'RAW ICP-MS Data'!S34*50/'ICP-MS Total Metals'!$B38)</f>
        <v>1223.9777995498898</v>
      </c>
      <c r="U38" s="46">
        <f>IF('RAW ICP-MS Data'!T34&lt;'ICP-MS Total Metals'!U$13,'ICP-MS Total Metals'!U$17,'RAW ICP-MS Data'!T34*50/'ICP-MS Total Metals'!$B38)</f>
        <v>108.87631259218519</v>
      </c>
      <c r="V38" s="46">
        <f>IF('RAW ICP-MS Data'!U34&lt;'ICP-MS Total Metals'!V$13,'ICP-MS Total Metals'!V$17,'RAW ICP-MS Data'!U34*50/'ICP-MS Total Metals'!$B38)</f>
        <v>720.96889009776874</v>
      </c>
      <c r="W38" s="46">
        <f>IF('RAW ICP-MS Data'!V34&lt;'ICP-MS Total Metals'!W$13,'ICP-MS Total Metals'!W$17,'RAW ICP-MS Data'!V34*50/'ICP-MS Total Metals'!$B38)</f>
        <v>142.75753374857959</v>
      </c>
      <c r="X38" s="46">
        <f>IF('RAW ICP-MS Data'!W34&lt;'ICP-MS Total Metals'!X$13,'ICP-MS Total Metals'!X$17,'RAW ICP-MS Data'!W34*50/'ICP-MS Total Metals'!$B38)</f>
        <v>362.08773393677177</v>
      </c>
      <c r="Y38" s="46">
        <f>IF('RAW ICP-MS Data'!X34&lt;'ICP-MS Total Metals'!Y$13,'ICP-MS Total Metals'!Y$17,'RAW ICP-MS Data'!X34*50/'ICP-MS Total Metals'!$B38)</f>
        <v>43.060564073974476</v>
      </c>
      <c r="Z38" s="46">
        <f>IF('RAW ICP-MS Data'!Y34&lt;'ICP-MS Total Metals'!Z$13,'ICP-MS Total Metals'!Z$17,'RAW ICP-MS Data'!Y34*50/'ICP-MS Total Metals'!$B38)</f>
        <v>247.18900937031131</v>
      </c>
      <c r="AA38" s="46">
        <f>IF('RAW ICP-MS Data'!Z34&lt;'ICP-MS Total Metals'!AA$13,'ICP-MS Total Metals'!AA$17,'RAW ICP-MS Data'!Z34*50/'ICP-MS Total Metals'!$B38)</f>
        <v>34.625988206367467</v>
      </c>
      <c r="AB38" s="46">
        <f>IF('RAW ICP-MS Data'!AA34&lt;'ICP-MS Total Metals'!AB$13,'ICP-MS Total Metals'!AB$17,'RAW ICP-MS Data'!AA34*50/'ICP-MS Total Metals'!$B38)</f>
        <v>37.270750280284986</v>
      </c>
      <c r="AC38" s="46">
        <f>IF('RAW ICP-MS Data'!AB34&lt;'ICP-MS Total Metals'!AC$13,'ICP-MS Total Metals'!AC$17,'RAW ICP-MS Data'!AB34*50/'ICP-MS Total Metals'!$B38)</f>
        <v>4.5478649771837834</v>
      </c>
      <c r="AD38" s="46">
        <f>IF('RAW ICP-MS Data'!AC34&lt;'ICP-MS Total Metals'!AD$13,'ICP-MS Total Metals'!AD$17,'RAW ICP-MS Data'!AC34*50/'ICP-MS Total Metals'!$B38)</f>
        <v>174.39159912536536</v>
      </c>
      <c r="AE38" s="46">
        <f>IF('RAW ICP-MS Data'!AD34&lt;'ICP-MS Total Metals'!AE$13,'ICP-MS Total Metals'!AE$17,'RAW ICP-MS Data'!AD34*50/'ICP-MS Total Metals'!$B38)</f>
        <v>316.59280295360264</v>
      </c>
      <c r="AF38" s="46">
        <f>IF('RAW ICP-MS Data'!AE34&lt;'ICP-MS Total Metals'!AF$13,'ICP-MS Total Metals'!AF$17,'RAW ICP-MS Data'!AE34*50/'ICP-MS Total Metals'!$B38)</f>
        <v>761.99037931641544</v>
      </c>
      <c r="AG38" s="46">
        <f>IF('RAW ICP-MS Data'!AF34&lt;'ICP-MS Total Metals'!AG$13,'ICP-MS Total Metals'!AG$17,'RAW ICP-MS Data'!AF34*50/'ICP-MS Total Metals'!$B38)</f>
        <v>939.85491838053451</v>
      </c>
      <c r="AH38" s="46">
        <f>IF('RAW ICP-MS Data'!AG34&lt;'ICP-MS Total Metals'!AH$13,'ICP-MS Total Metals'!AH$17,'RAW ICP-MS Data'!AG34*50/'ICP-MS Total Metals'!$B38)</f>
        <v>0</v>
      </c>
      <c r="AI38" s="46">
        <f>IF('RAW ICP-MS Data'!AH34&lt;'ICP-MS Total Metals'!AI$13,'ICP-MS Total Metals'!AI$17,'RAW ICP-MS Data'!AH34*50/'ICP-MS Total Metals'!$B38)</f>
        <v>0</v>
      </c>
      <c r="AJ38" s="46">
        <f>IF('RAW ICP-MS Data'!AI34&lt;'ICP-MS Total Metals'!AJ$13,'ICP-MS Total Metals'!AJ$17,'RAW ICP-MS Data'!AI34*50/'ICP-MS Total Metals'!$B38)</f>
        <v>61.816983213313115</v>
      </c>
      <c r="AK38" s="46">
        <f>IF('RAW ICP-MS Data'!AJ34&lt;'ICP-MS Total Metals'!AK$13,'ICP-MS Total Metals'!AK$17,'RAW ICP-MS Data'!AJ34*50/'ICP-MS Total Metals'!$B38)</f>
        <v>0</v>
      </c>
      <c r="AL38" s="46">
        <f>IF('RAW ICP-MS Data'!AK34&lt;'ICP-MS Total Metals'!AL$13,'ICP-MS Total Metals'!AL$17,'RAW ICP-MS Data'!AK34*50/'ICP-MS Total Metals'!$B38)</f>
        <v>25796.373252188194</v>
      </c>
      <c r="AM38" s="46">
        <f>IF('RAW ICP-MS Data'!AL34&lt;'ICP-MS Total Metals'!AM$13,'ICP-MS Total Metals'!AM$17,'RAW ICP-MS Data'!AL34*50/'ICP-MS Total Metals'!$B38)</f>
        <v>0</v>
      </c>
      <c r="AN38" s="46">
        <f>IF('RAW ICP-MS Data'!AM34&lt;'ICP-MS Total Metals'!AN$13,'ICP-MS Total Metals'!AN$17,'RAW ICP-MS Data'!AM34*50/'ICP-MS Total Metals'!$B38)</f>
        <v>0</v>
      </c>
    </row>
    <row r="39" spans="1:41" ht="15.75" thickBot="1" x14ac:dyDescent="0.3">
      <c r="A39" s="51">
        <f>'Raw ICP-OES Data'!A35</f>
        <v>0</v>
      </c>
      <c r="B39" s="108">
        <v>0.49990000000000001</v>
      </c>
      <c r="C39" s="46">
        <f>IF('RAW ICP-MS Data'!B35&lt;'ICP-MS Total Metals'!C$13,'ICP-MS Total Metals'!C$17,'RAW ICP-MS Data'!B35*50/'ICP-MS Total Metals'!$B39)</f>
        <v>900.73915925523613</v>
      </c>
      <c r="D39" s="46">
        <f>IF('RAW ICP-MS Data'!C35&lt;'ICP-MS Total Metals'!D$13,'ICP-MS Total Metals'!D$17,'RAW ICP-MS Data'!C35*50/'ICP-MS Total Metals'!$B39)</f>
        <v>3821.9751524813764</v>
      </c>
      <c r="E39" s="46">
        <f>IF('RAW ICP-MS Data'!D35&lt;'ICP-MS Total Metals'!E$13,'ICP-MS Total Metals'!E$17,'RAW ICP-MS Data'!D35*50/'ICP-MS Total Metals'!$B39)</f>
        <v>2094.1965423808761</v>
      </c>
      <c r="F39" s="46">
        <f>IF('RAW ICP-MS Data'!E35&lt;'ICP-MS Total Metals'!F$13,'ICP-MS Total Metals'!F$17,'RAW ICP-MS Data'!E35*50/'ICP-MS Total Metals'!$B39)</f>
        <v>1753.1235307923487</v>
      </c>
      <c r="G39" s="46">
        <f>IF('RAW ICP-MS Data'!F35&lt;'ICP-MS Total Metals'!G$13,'ICP-MS Total Metals'!G$17,'RAW ICP-MS Data'!F35*50/'ICP-MS Total Metals'!$B39)</f>
        <v>5863.0585959400678</v>
      </c>
      <c r="H39" s="46">
        <f>IF('RAW ICP-MS Data'!G35&lt;'ICP-MS Total Metals'!H$13,'ICP-MS Total Metals'!H$17,'RAW ICP-MS Data'!G35*50/'ICP-MS Total Metals'!$B39)</f>
        <v>1290.9246434599818</v>
      </c>
      <c r="I39" s="46">
        <f>IF('RAW ICP-MS Data'!H35&lt;'ICP-MS Total Metals'!I$13,'ICP-MS Total Metals'!I$17,'RAW ICP-MS Data'!H35*50/'ICP-MS Total Metals'!$B39)</f>
        <v>127.87639401576615</v>
      </c>
      <c r="J39" s="46">
        <f>IF('RAW ICP-MS Data'!I35&lt;'ICP-MS Total Metals'!J$13,'ICP-MS Total Metals'!J$17,'RAW ICP-MS Data'!I35*50/'ICP-MS Total Metals'!$B39)</f>
        <v>2.5217842741601824</v>
      </c>
      <c r="K39" s="46">
        <f>IF('RAW ICP-MS Data'!J35&lt;'ICP-MS Total Metals'!K$13,'ICP-MS Total Metals'!K$17,'RAW ICP-MS Data'!J35*50/'ICP-MS Total Metals'!$B39)</f>
        <v>4636898.6271460094</v>
      </c>
      <c r="L39" s="46">
        <f>IF('RAW ICP-MS Data'!K35&lt;'ICP-MS Total Metals'!L$13,'ICP-MS Total Metals'!L$17,'RAW ICP-MS Data'!K35*50/'ICP-MS Total Metals'!$B39)</f>
        <v>45.705666530147134</v>
      </c>
      <c r="M39" s="46">
        <f>IF('RAW ICP-MS Data'!L35&lt;'ICP-MS Total Metals'!M$13,'ICP-MS Total Metals'!M$17,'RAW ICP-MS Data'!L35*50/'ICP-MS Total Metals'!$B39)</f>
        <v>379.87330934908181</v>
      </c>
      <c r="N39" s="46">
        <f>IF('RAW ICP-MS Data'!M35&lt;'ICP-MS Total Metals'!N$13,'ICP-MS Total Metals'!N$17,'RAW ICP-MS Data'!M35*50/'ICP-MS Total Metals'!$B39)</f>
        <v>5318.1352790562814</v>
      </c>
      <c r="O39" s="46">
        <f>IF('RAW ICP-MS Data'!N35&lt;'ICP-MS Total Metals'!O$13,'ICP-MS Total Metals'!O$17,'RAW ICP-MS Data'!N35*50/'ICP-MS Total Metals'!$B39)</f>
        <v>8472.9888163291762</v>
      </c>
      <c r="P39" s="46">
        <f>IF('RAW ICP-MS Data'!O35&lt;'ICP-MS Total Metals'!P$13,'ICP-MS Total Metals'!P$17,'RAW ICP-MS Data'!O35*50/'ICP-MS Total Metals'!$B39)</f>
        <v>1552.4730481117122</v>
      </c>
      <c r="Q39" s="46">
        <f>IF('RAW ICP-MS Data'!P35&lt;'ICP-MS Total Metals'!Q$13,'ICP-MS Total Metals'!Q$17,'RAW ICP-MS Data'!P35*50/'ICP-MS Total Metals'!$B39)</f>
        <v>6637.8556604056712</v>
      </c>
      <c r="R39" s="46">
        <f>IF('RAW ICP-MS Data'!Q35&lt;'ICP-MS Total Metals'!R$13,'ICP-MS Total Metals'!R$17,'RAW ICP-MS Data'!Q35*50/'ICP-MS Total Metals'!$B39)</f>
        <v>1352.187951920384</v>
      </c>
      <c r="S39" s="46">
        <f>IF('RAW ICP-MS Data'!R35&lt;'ICP-MS Total Metals'!S$13,'ICP-MS Total Metals'!S$17,'RAW ICP-MS Data'!R35*50/'ICP-MS Total Metals'!$B39)</f>
        <v>304.4383762119694</v>
      </c>
      <c r="T39" s="46">
        <f>IF('RAW ICP-MS Data'!S35&lt;'ICP-MS Total Metals'!T$13,'ICP-MS Total Metals'!T$17,'RAW ICP-MS Data'!S35*50/'ICP-MS Total Metals'!$B39)</f>
        <v>1422.4501224825167</v>
      </c>
      <c r="U39" s="46">
        <f>IF('RAW ICP-MS Data'!T35&lt;'ICP-MS Total Metals'!U$13,'ICP-MS Total Metals'!U$17,'RAW ICP-MS Data'!T35*50/'ICP-MS Total Metals'!$B39)</f>
        <v>134.83138521227144</v>
      </c>
      <c r="V39" s="46">
        <f>IF('RAW ICP-MS Data'!U35&lt;'ICP-MS Total Metals'!V$13,'ICP-MS Total Metals'!V$17,'RAW ICP-MS Data'!U35*50/'ICP-MS Total Metals'!$B39)</f>
        <v>866.30597403699835</v>
      </c>
      <c r="W39" s="46">
        <f>IF('RAW ICP-MS Data'!V35&lt;'ICP-MS Total Metals'!W$13,'ICP-MS Total Metals'!W$17,'RAW ICP-MS Data'!V35*50/'ICP-MS Total Metals'!$B39)</f>
        <v>171.2863267703861</v>
      </c>
      <c r="X39" s="46">
        <f>IF('RAW ICP-MS Data'!W35&lt;'ICP-MS Total Metals'!X$13,'ICP-MS Total Metals'!X$17,'RAW ICP-MS Data'!W35*50/'ICP-MS Total Metals'!$B39)</f>
        <v>447.79794974776456</v>
      </c>
      <c r="Y39" s="46">
        <f>IF('RAW ICP-MS Data'!X35&lt;'ICP-MS Total Metals'!Y$13,'ICP-MS Total Metals'!Y$17,'RAW ICP-MS Data'!X35*50/'ICP-MS Total Metals'!$B39)</f>
        <v>51.293776197930278</v>
      </c>
      <c r="Z39" s="46">
        <f>IF('RAW ICP-MS Data'!Y35&lt;'ICP-MS Total Metals'!Z$13,'ICP-MS Total Metals'!Z$17,'RAW ICP-MS Data'!Y35*50/'ICP-MS Total Metals'!$B39)</f>
        <v>293.40165998351472</v>
      </c>
      <c r="AA39" s="46">
        <f>IF('RAW ICP-MS Data'!Z35&lt;'ICP-MS Total Metals'!AA$13,'ICP-MS Total Metals'!AA$17,'RAW ICP-MS Data'!Z35*50/'ICP-MS Total Metals'!$B39)</f>
        <v>40.240778332065915</v>
      </c>
      <c r="AB39" s="46">
        <f>IF('RAW ICP-MS Data'!AA35&lt;'ICP-MS Total Metals'!AB$13,'ICP-MS Total Metals'!AB$17,'RAW ICP-MS Data'!AA35*50/'ICP-MS Total Metals'!$B39)</f>
        <v>48.325665806954888</v>
      </c>
      <c r="AC39" s="46">
        <f>IF('RAW ICP-MS Data'!AB35&lt;'ICP-MS Total Metals'!AC$13,'ICP-MS Total Metals'!AC$17,'RAW ICP-MS Data'!AB35*50/'ICP-MS Total Metals'!$B39)</f>
        <v>5.2713192094969097</v>
      </c>
      <c r="AD39" s="46">
        <f>IF('RAW ICP-MS Data'!AC35&lt;'ICP-MS Total Metals'!AD$13,'ICP-MS Total Metals'!AD$17,'RAW ICP-MS Data'!AC35*50/'ICP-MS Total Metals'!$B39)</f>
        <v>244.87335172808162</v>
      </c>
      <c r="AE39" s="46">
        <f>IF('RAW ICP-MS Data'!AD35&lt;'ICP-MS Total Metals'!AE$13,'ICP-MS Total Metals'!AE$17,'RAW ICP-MS Data'!AD35*50/'ICP-MS Total Metals'!$B39)</f>
        <v>166.11533777667631</v>
      </c>
      <c r="AF39" s="46">
        <f>IF('RAW ICP-MS Data'!AE35&lt;'ICP-MS Total Metals'!AF$13,'ICP-MS Total Metals'!AF$17,'RAW ICP-MS Data'!AE35*50/'ICP-MS Total Metals'!$B39)</f>
        <v>814.57953867949277</v>
      </c>
      <c r="AG39" s="46">
        <f>IF('RAW ICP-MS Data'!AF35&lt;'ICP-MS Total Metals'!AG$13,'ICP-MS Total Metals'!AG$17,'RAW ICP-MS Data'!AF35*50/'ICP-MS Total Metals'!$B39)</f>
        <v>1061.721084245549</v>
      </c>
      <c r="AH39" s="46">
        <f>IF('RAW ICP-MS Data'!AG35&lt;'ICP-MS Total Metals'!AH$13,'ICP-MS Total Metals'!AH$17,'RAW ICP-MS Data'!AG35*50/'ICP-MS Total Metals'!$B39)</f>
        <v>0</v>
      </c>
      <c r="AI39" s="46">
        <f>IF('RAW ICP-MS Data'!AH35&lt;'ICP-MS Total Metals'!AI$13,'ICP-MS Total Metals'!AI$17,'RAW ICP-MS Data'!AH35*50/'ICP-MS Total Metals'!$B39)</f>
        <v>0</v>
      </c>
      <c r="AJ39" s="46">
        <f>IF('RAW ICP-MS Data'!AI35&lt;'ICP-MS Total Metals'!AJ$13,'ICP-MS Total Metals'!AJ$17,'RAW ICP-MS Data'!AI35*50/'ICP-MS Total Metals'!$B39)</f>
        <v>95.289211965246551</v>
      </c>
      <c r="AK39" s="46">
        <f>IF('RAW ICP-MS Data'!AJ35&lt;'ICP-MS Total Metals'!AK$13,'ICP-MS Total Metals'!AK$17,'RAW ICP-MS Data'!AJ35*50/'ICP-MS Total Metals'!$B39)</f>
        <v>0</v>
      </c>
      <c r="AL39" s="46">
        <f>IF('RAW ICP-MS Data'!AK35&lt;'ICP-MS Total Metals'!AL$13,'ICP-MS Total Metals'!AL$17,'RAW ICP-MS Data'!AK35*50/'ICP-MS Total Metals'!$B39)</f>
        <v>25840.692991913784</v>
      </c>
      <c r="AM39" s="46">
        <f>IF('RAW ICP-MS Data'!AL35&lt;'ICP-MS Total Metals'!AM$13,'ICP-MS Total Metals'!AM$17,'RAW ICP-MS Data'!AL35*50/'ICP-MS Total Metals'!$B39)</f>
        <v>0</v>
      </c>
      <c r="AN39" s="46">
        <f>IF('RAW ICP-MS Data'!AM35&lt;'ICP-MS Total Metals'!AN$13,'ICP-MS Total Metals'!AN$17,'RAW ICP-MS Data'!AM35*50/'ICP-MS Total Metals'!$B39)</f>
        <v>0</v>
      </c>
    </row>
    <row r="40" spans="1:41" s="11" customFormat="1" ht="14.25" customHeight="1" thickBot="1" x14ac:dyDescent="0.3">
      <c r="A40" s="51">
        <f>'Raw ICP-OES Data'!A36</f>
        <v>0</v>
      </c>
      <c r="B40" s="108">
        <v>0.49980000000000002</v>
      </c>
      <c r="C40" s="46">
        <f>IF('RAW ICP-MS Data'!B36&lt;'ICP-MS Total Metals'!C$13,'ICP-MS Total Metals'!C$17,'RAW ICP-MS Data'!B36*50/'ICP-MS Total Metals'!$B40)</f>
        <v>727.31880564717778</v>
      </c>
      <c r="D40" s="46">
        <f>IF('RAW ICP-MS Data'!C36&lt;'ICP-MS Total Metals'!D$13,'ICP-MS Total Metals'!D$17,'RAW ICP-MS Data'!C36*50/'ICP-MS Total Metals'!$B40)</f>
        <v>3104.0114452303919</v>
      </c>
      <c r="E40" s="46">
        <f>IF('RAW ICP-MS Data'!D36&lt;'ICP-MS Total Metals'!E$13,'ICP-MS Total Metals'!E$17,'RAW ICP-MS Data'!D36*50/'ICP-MS Total Metals'!$B40)</f>
        <v>1390.2988322697579</v>
      </c>
      <c r="F40" s="46">
        <f>IF('RAW ICP-MS Data'!E36&lt;'ICP-MS Total Metals'!F$13,'ICP-MS Total Metals'!F$17,'RAW ICP-MS Data'!E36*50/'ICP-MS Total Metals'!$B40)</f>
        <v>1354.0569696396158</v>
      </c>
      <c r="G40" s="46">
        <f>IF('RAW ICP-MS Data'!F36&lt;'ICP-MS Total Metals'!G$13,'ICP-MS Total Metals'!G$17,'RAW ICP-MS Data'!F36*50/'ICP-MS Total Metals'!$B40)</f>
        <v>5297.9907163913867</v>
      </c>
      <c r="H40" s="46">
        <f>IF('RAW ICP-MS Data'!G36&lt;'ICP-MS Total Metals'!H$13,'ICP-MS Total Metals'!H$17,'RAW ICP-MS Data'!G36*50/'ICP-MS Total Metals'!$B40)</f>
        <v>1140.6593601805921</v>
      </c>
      <c r="I40" s="46">
        <f>IF('RAW ICP-MS Data'!H36&lt;'ICP-MS Total Metals'!I$13,'ICP-MS Total Metals'!I$17,'RAW ICP-MS Data'!H36*50/'ICP-MS Total Metals'!$B40)</f>
        <v>103.95546840691276</v>
      </c>
      <c r="J40" s="46">
        <f>IF('RAW ICP-MS Data'!I36&lt;'ICP-MS Total Metals'!J$13,'ICP-MS Total Metals'!J$17,'RAW ICP-MS Data'!I36*50/'ICP-MS Total Metals'!$B40)</f>
        <v>77.316954635800215</v>
      </c>
      <c r="K40" s="46">
        <f>IF('RAW ICP-MS Data'!J36&lt;'ICP-MS Total Metals'!K$13,'ICP-MS Total Metals'!K$17,'RAW ICP-MS Data'!J36*50/'ICP-MS Total Metals'!$B40)</f>
        <v>650818.44820231793</v>
      </c>
      <c r="L40" s="46">
        <f>IF('RAW ICP-MS Data'!K36&lt;'ICP-MS Total Metals'!L$13,'ICP-MS Total Metals'!L$17,'RAW ICP-MS Data'!K36*50/'ICP-MS Total Metals'!$B40)</f>
        <v>67.377540347254993</v>
      </c>
      <c r="M40" s="46">
        <f>IF('RAW ICP-MS Data'!L36&lt;'ICP-MS Total Metals'!M$13,'ICP-MS Total Metals'!M$17,'RAW ICP-MS Data'!L36*50/'ICP-MS Total Metals'!$B40)</f>
        <v>340.91767064867042</v>
      </c>
      <c r="N40" s="46">
        <f>IF('RAW ICP-MS Data'!M36&lt;'ICP-MS Total Metals'!N$13,'ICP-MS Total Metals'!N$17,'RAW ICP-MS Data'!M36*50/'ICP-MS Total Metals'!$B40)</f>
        <v>4718.6307440430865</v>
      </c>
      <c r="O40" s="46">
        <f>IF('RAW ICP-MS Data'!N36&lt;'ICP-MS Total Metals'!O$13,'ICP-MS Total Metals'!O$17,'RAW ICP-MS Data'!N36*50/'ICP-MS Total Metals'!$B40)</f>
        <v>7376.8572016260896</v>
      </c>
      <c r="P40" s="46">
        <f>IF('RAW ICP-MS Data'!O36&lt;'ICP-MS Total Metals'!P$13,'ICP-MS Total Metals'!P$17,'RAW ICP-MS Data'!O36*50/'ICP-MS Total Metals'!$B40)</f>
        <v>1392.8274898553821</v>
      </c>
      <c r="Q40" s="46">
        <f>IF('RAW ICP-MS Data'!P36&lt;'ICP-MS Total Metals'!Q$13,'ICP-MS Total Metals'!Q$17,'RAW ICP-MS Data'!P36*50/'ICP-MS Total Metals'!$B40)</f>
        <v>6010.6974551429876</v>
      </c>
      <c r="R40" s="46">
        <f>IF('RAW ICP-MS Data'!Q36&lt;'ICP-MS Total Metals'!R$13,'ICP-MS Total Metals'!R$17,'RAW ICP-MS Data'!Q36*50/'ICP-MS Total Metals'!$B40)</f>
        <v>1199.2510908067027</v>
      </c>
      <c r="S40" s="46">
        <f>IF('RAW ICP-MS Data'!R36&lt;'ICP-MS Total Metals'!S$13,'ICP-MS Total Metals'!S$17,'RAW ICP-MS Data'!R36*50/'ICP-MS Total Metals'!$B40)</f>
        <v>261.16419557205984</v>
      </c>
      <c r="T40" s="46">
        <f>IF('RAW ICP-MS Data'!S36&lt;'ICP-MS Total Metals'!T$13,'ICP-MS Total Metals'!T$17,'RAW ICP-MS Data'!S36*50/'ICP-MS Total Metals'!$B40)</f>
        <v>1276.3711420763605</v>
      </c>
      <c r="U40" s="46">
        <f>IF('RAW ICP-MS Data'!T36&lt;'ICP-MS Total Metals'!U$13,'ICP-MS Total Metals'!U$17,'RAW ICP-MS Data'!T36*50/'ICP-MS Total Metals'!$B40)</f>
        <v>115.46342856687075</v>
      </c>
      <c r="V40" s="46">
        <f>IF('RAW ICP-MS Data'!U36&lt;'ICP-MS Total Metals'!V$13,'ICP-MS Total Metals'!V$17,'RAW ICP-MS Data'!U36*50/'ICP-MS Total Metals'!$B40)</f>
        <v>754.65081113155156</v>
      </c>
      <c r="W40" s="46">
        <f>IF('RAW ICP-MS Data'!V36&lt;'ICP-MS Total Metals'!W$13,'ICP-MS Total Metals'!W$17,'RAW ICP-MS Data'!V36*50/'ICP-MS Total Metals'!$B40)</f>
        <v>150.70089473288513</v>
      </c>
      <c r="X40" s="46">
        <f>IF('RAW ICP-MS Data'!W36&lt;'ICP-MS Total Metals'!X$13,'ICP-MS Total Metals'!X$17,'RAW ICP-MS Data'!W36*50/'ICP-MS Total Metals'!$B40)</f>
        <v>390.56457165163664</v>
      </c>
      <c r="Y40" s="46">
        <f>IF('RAW ICP-MS Data'!X36&lt;'ICP-MS Total Metals'!Y$13,'ICP-MS Total Metals'!Y$17,'RAW ICP-MS Data'!X36*50/'ICP-MS Total Metals'!$B40)</f>
        <v>45.029007157806419</v>
      </c>
      <c r="Z40" s="46">
        <f>IF('RAW ICP-MS Data'!Y36&lt;'ICP-MS Total Metals'!Z$13,'ICP-MS Total Metals'!Z$17,'RAW ICP-MS Data'!Y36*50/'ICP-MS Total Metals'!$B40)</f>
        <v>254.23028553505</v>
      </c>
      <c r="AA40" s="46">
        <f>IF('RAW ICP-MS Data'!Z36&lt;'ICP-MS Total Metals'!AA$13,'ICP-MS Total Metals'!AA$17,'RAW ICP-MS Data'!Z36*50/'ICP-MS Total Metals'!$B40)</f>
        <v>39.26385980072439</v>
      </c>
      <c r="AB40" s="46">
        <f>IF('RAW ICP-MS Data'!AA36&lt;'ICP-MS Total Metals'!AB$13,'ICP-MS Total Metals'!AB$17,'RAW ICP-MS Data'!AA36*50/'ICP-MS Total Metals'!$B40)</f>
        <v>48.49491598191166</v>
      </c>
      <c r="AC40" s="46">
        <f>IF('RAW ICP-MS Data'!AB36&lt;'ICP-MS Total Metals'!AC$13,'ICP-MS Total Metals'!AC$17,'RAW ICP-MS Data'!AB36*50/'ICP-MS Total Metals'!$B40)</f>
        <v>10.991304435768807</v>
      </c>
      <c r="AD40" s="46">
        <f>IF('RAW ICP-MS Data'!AC36&lt;'ICP-MS Total Metals'!AD$13,'ICP-MS Total Metals'!AD$17,'RAW ICP-MS Data'!AC36*50/'ICP-MS Total Metals'!$B40)</f>
        <v>145.19313274214488</v>
      </c>
      <c r="AE40" s="46">
        <f>IF('RAW ICP-MS Data'!AD36&lt;'ICP-MS Total Metals'!AE$13,'ICP-MS Total Metals'!AE$17,'RAW ICP-MS Data'!AD36*50/'ICP-MS Total Metals'!$B40)</f>
        <v>112.317277170007</v>
      </c>
      <c r="AF40" s="46">
        <f>IF('RAW ICP-MS Data'!AE36&lt;'ICP-MS Total Metals'!AF$13,'ICP-MS Total Metals'!AF$17,'RAW ICP-MS Data'!AE36*50/'ICP-MS Total Metals'!$B40)</f>
        <v>758.1244264963525</v>
      </c>
      <c r="AG40" s="46">
        <f>IF('RAW ICP-MS Data'!AF36&lt;'ICP-MS Total Metals'!AG$13,'ICP-MS Total Metals'!AG$17,'RAW ICP-MS Data'!AF36*50/'ICP-MS Total Metals'!$B40)</f>
        <v>970.31841808281104</v>
      </c>
      <c r="AH40" s="46">
        <f>IF('RAW ICP-MS Data'!AG36&lt;'ICP-MS Total Metals'!AH$13,'ICP-MS Total Metals'!AH$17,'RAW ICP-MS Data'!AG36*50/'ICP-MS Total Metals'!$B40)</f>
        <v>0</v>
      </c>
      <c r="AI40" s="46">
        <f>IF('RAW ICP-MS Data'!AH36&lt;'ICP-MS Total Metals'!AI$13,'ICP-MS Total Metals'!AI$17,'RAW ICP-MS Data'!AH36*50/'ICP-MS Total Metals'!$B40)</f>
        <v>0</v>
      </c>
      <c r="AJ40" s="46">
        <f>IF('RAW ICP-MS Data'!AI36&lt;'ICP-MS Total Metals'!AJ$13,'ICP-MS Total Metals'!AJ$17,'RAW ICP-MS Data'!AI36*50/'ICP-MS Total Metals'!$B40)</f>
        <v>152.02876287061628</v>
      </c>
      <c r="AK40" s="46">
        <f>IF('RAW ICP-MS Data'!AJ36&lt;'ICP-MS Total Metals'!AK$13,'ICP-MS Total Metals'!AK$17,'RAW ICP-MS Data'!AJ36*50/'ICP-MS Total Metals'!$B40)</f>
        <v>0</v>
      </c>
      <c r="AL40" s="46">
        <f>IF('RAW ICP-MS Data'!AK36&lt;'ICP-MS Total Metals'!AL$13,'ICP-MS Total Metals'!AL$17,'RAW ICP-MS Data'!AK36*50/'ICP-MS Total Metals'!$B40)</f>
        <v>19967.196601596737</v>
      </c>
      <c r="AM40" s="46">
        <f>IF('RAW ICP-MS Data'!AL36&lt;'ICP-MS Total Metals'!AM$13,'ICP-MS Total Metals'!AM$17,'RAW ICP-MS Data'!AL36*50/'ICP-MS Total Metals'!$B40)</f>
        <v>68.570069022005697</v>
      </c>
      <c r="AN40" s="46">
        <f>IF('RAW ICP-MS Data'!AM36&lt;'ICP-MS Total Metals'!AN$13,'ICP-MS Total Metals'!AN$17,'RAW ICP-MS Data'!AM36*50/'ICP-MS Total Metals'!$B40)</f>
        <v>0</v>
      </c>
      <c r="AO40"/>
    </row>
    <row r="41" spans="1:41" s="22" customFormat="1" ht="15.75" thickBot="1" x14ac:dyDescent="0.25">
      <c r="A41" s="51">
        <f>'Raw ICP-OES Data'!A37</f>
        <v>0</v>
      </c>
      <c r="B41" s="108">
        <v>0.501</v>
      </c>
      <c r="C41" s="46">
        <f>IF('RAW ICP-MS Data'!B37&lt;'ICP-MS Total Metals'!C$13,'ICP-MS Total Metals'!C$17,'RAW ICP-MS Data'!B37*50/'ICP-MS Total Metals'!$B41)</f>
        <v>686.60646285229041</v>
      </c>
      <c r="D41" s="46">
        <f>IF('RAW ICP-MS Data'!C37&lt;'ICP-MS Total Metals'!D$13,'ICP-MS Total Metals'!D$17,'RAW ICP-MS Data'!C37*50/'ICP-MS Total Metals'!$B41)</f>
        <v>2615.7766486512974</v>
      </c>
      <c r="E41" s="46">
        <f>IF('RAW ICP-MS Data'!D37&lt;'ICP-MS Total Metals'!E$13,'ICP-MS Total Metals'!E$17,'RAW ICP-MS Data'!D37*50/'ICP-MS Total Metals'!$B41)</f>
        <v>1000.4297871776447</v>
      </c>
      <c r="F41" s="46">
        <f>IF('RAW ICP-MS Data'!E37&lt;'ICP-MS Total Metals'!F$13,'ICP-MS Total Metals'!F$17,'RAW ICP-MS Data'!E37*50/'ICP-MS Total Metals'!$B41)</f>
        <v>1119.8901017597204</v>
      </c>
      <c r="G41" s="46">
        <f>IF('RAW ICP-MS Data'!F37&lt;'ICP-MS Total Metals'!G$13,'ICP-MS Total Metals'!G$17,'RAW ICP-MS Data'!F37*50/'ICP-MS Total Metals'!$B41)</f>
        <v>5182.9497002846811</v>
      </c>
      <c r="H41" s="46">
        <f>IF('RAW ICP-MS Data'!G37&lt;'ICP-MS Total Metals'!H$13,'ICP-MS Total Metals'!H$17,'RAW ICP-MS Data'!G37*50/'ICP-MS Total Metals'!$B41)</f>
        <v>977.33464974244202</v>
      </c>
      <c r="I41" s="46">
        <f>IF('RAW ICP-MS Data'!H37&lt;'ICP-MS Total Metals'!I$13,'ICP-MS Total Metals'!I$17,'RAW ICP-MS Data'!H37*50/'ICP-MS Total Metals'!$B41)</f>
        <v>71.027296882512772</v>
      </c>
      <c r="J41" s="46">
        <f>IF('RAW ICP-MS Data'!I37&lt;'ICP-MS Total Metals'!J$13,'ICP-MS Total Metals'!J$17,'RAW ICP-MS Data'!I37*50/'ICP-MS Total Metals'!$B41)</f>
        <v>35.073126132781432</v>
      </c>
      <c r="K41" s="46">
        <f>IF('RAW ICP-MS Data'!J37&lt;'ICP-MS Total Metals'!K$13,'ICP-MS Total Metals'!K$17,'RAW ICP-MS Data'!J37*50/'ICP-MS Total Metals'!$B41)</f>
        <v>2282933.6973943114</v>
      </c>
      <c r="L41" s="46">
        <f>IF('RAW ICP-MS Data'!K37&lt;'ICP-MS Total Metals'!L$13,'ICP-MS Total Metals'!L$17,'RAW ICP-MS Data'!K37*50/'ICP-MS Total Metals'!$B41)</f>
        <v>59.631745259786726</v>
      </c>
      <c r="M41" s="46">
        <f>IF('RAW ICP-MS Data'!L37&lt;'ICP-MS Total Metals'!M$13,'ICP-MS Total Metals'!M$17,'RAW ICP-MS Data'!L37*50/'ICP-MS Total Metals'!$B41)</f>
        <v>294.30437078138323</v>
      </c>
      <c r="N41" s="46">
        <f>IF('RAW ICP-MS Data'!M37&lt;'ICP-MS Total Metals'!N$13,'ICP-MS Total Metals'!N$17,'RAW ICP-MS Data'!M37*50/'ICP-MS Total Metals'!$B41)</f>
        <v>4406.40778452012</v>
      </c>
      <c r="O41" s="46">
        <f>IF('RAW ICP-MS Data'!N37&lt;'ICP-MS Total Metals'!O$13,'ICP-MS Total Metals'!O$17,'RAW ICP-MS Data'!N37*50/'ICP-MS Total Metals'!$B41)</f>
        <v>6818.311702199022</v>
      </c>
      <c r="P41" s="46">
        <f>IF('RAW ICP-MS Data'!O37&lt;'ICP-MS Total Metals'!P$13,'ICP-MS Total Metals'!P$17,'RAW ICP-MS Data'!O37*50/'ICP-MS Total Metals'!$B41)</f>
        <v>1348.4619297542215</v>
      </c>
      <c r="Q41" s="46">
        <f>IF('RAW ICP-MS Data'!P37&lt;'ICP-MS Total Metals'!Q$13,'ICP-MS Total Metals'!Q$17,'RAW ICP-MS Data'!P37*50/'ICP-MS Total Metals'!$B41)</f>
        <v>5863.4960469165371</v>
      </c>
      <c r="R41" s="46">
        <f>IF('RAW ICP-MS Data'!Q37&lt;'ICP-MS Total Metals'!R$13,'ICP-MS Total Metals'!R$17,'RAW ICP-MS Data'!Q37*50/'ICP-MS Total Metals'!$B41)</f>
        <v>1185.2095840674851</v>
      </c>
      <c r="S41" s="46">
        <f>IF('RAW ICP-MS Data'!R37&lt;'ICP-MS Total Metals'!S$13,'ICP-MS Total Metals'!S$17,'RAW ICP-MS Data'!R37*50/'ICP-MS Total Metals'!$B41)</f>
        <v>245.40250005158381</v>
      </c>
      <c r="T41" s="46">
        <f>IF('RAW ICP-MS Data'!S37&lt;'ICP-MS Total Metals'!T$13,'ICP-MS Total Metals'!T$17,'RAW ICP-MS Data'!S37*50/'ICP-MS Total Metals'!$B41)</f>
        <v>1323.0433922901</v>
      </c>
      <c r="U41" s="46">
        <f>IF('RAW ICP-MS Data'!T37&lt;'ICP-MS Total Metals'!U$13,'ICP-MS Total Metals'!U$17,'RAW ICP-MS Data'!T37*50/'ICP-MS Total Metals'!$B41)</f>
        <v>115.37671857746109</v>
      </c>
      <c r="V41" s="46">
        <f>IF('RAW ICP-MS Data'!U37&lt;'ICP-MS Total Metals'!V$13,'ICP-MS Total Metals'!V$17,'RAW ICP-MS Data'!U37*50/'ICP-MS Total Metals'!$B41)</f>
        <v>768.5852760456188</v>
      </c>
      <c r="W41" s="46">
        <f>IF('RAW ICP-MS Data'!V37&lt;'ICP-MS Total Metals'!W$13,'ICP-MS Total Metals'!W$17,'RAW ICP-MS Data'!V37*50/'ICP-MS Total Metals'!$B41)</f>
        <v>143.15086217877746</v>
      </c>
      <c r="X41" s="46">
        <f>IF('RAW ICP-MS Data'!W37&lt;'ICP-MS Total Metals'!X$13,'ICP-MS Total Metals'!X$17,'RAW ICP-MS Data'!W37*50/'ICP-MS Total Metals'!$B41)</f>
        <v>384.90872621415872</v>
      </c>
      <c r="Y41" s="46">
        <f>IF('RAW ICP-MS Data'!X37&lt;'ICP-MS Total Metals'!Y$13,'ICP-MS Total Metals'!Y$17,'RAW ICP-MS Data'!X37*50/'ICP-MS Total Metals'!$B41)</f>
        <v>41.826932973954492</v>
      </c>
      <c r="Z41" s="46">
        <f>IF('RAW ICP-MS Data'!Y37&lt;'ICP-MS Total Metals'!Z$13,'ICP-MS Total Metals'!Z$17,'RAW ICP-MS Data'!Y37*50/'ICP-MS Total Metals'!$B41)</f>
        <v>258.38644876755092</v>
      </c>
      <c r="AA41" s="46">
        <f>IF('RAW ICP-MS Data'!Z37&lt;'ICP-MS Total Metals'!AA$13,'ICP-MS Total Metals'!AA$17,'RAW ICP-MS Data'!Z37*50/'ICP-MS Total Metals'!$B41)</f>
        <v>32.591245177814663</v>
      </c>
      <c r="AB41" s="46">
        <f>IF('RAW ICP-MS Data'!AA37&lt;'ICP-MS Total Metals'!AB$13,'ICP-MS Total Metals'!AB$17,'RAW ICP-MS Data'!AA37*50/'ICP-MS Total Metals'!$B41)</f>
        <v>45.073645988275644</v>
      </c>
      <c r="AC41" s="46">
        <f>IF('RAW ICP-MS Data'!AB37&lt;'ICP-MS Total Metals'!AC$13,'ICP-MS Total Metals'!AC$17,'RAW ICP-MS Data'!AB37*50/'ICP-MS Total Metals'!$B41)</f>
        <v>7.9989362503088213</v>
      </c>
      <c r="AD41" s="46">
        <f>IF('RAW ICP-MS Data'!AC37&lt;'ICP-MS Total Metals'!AD$13,'ICP-MS Total Metals'!AD$17,'RAW ICP-MS Data'!AC37*50/'ICP-MS Total Metals'!$B41)</f>
        <v>100.82124152742415</v>
      </c>
      <c r="AE41" s="46">
        <f>IF('RAW ICP-MS Data'!AD37&lt;'ICP-MS Total Metals'!AE$13,'ICP-MS Total Metals'!AE$17,'RAW ICP-MS Data'!AD37*50/'ICP-MS Total Metals'!$B41)</f>
        <v>133.77814867896907</v>
      </c>
      <c r="AF41" s="46">
        <f>IF('RAW ICP-MS Data'!AE37&lt;'ICP-MS Total Metals'!AF$13,'ICP-MS Total Metals'!AF$17,'RAW ICP-MS Data'!AE37*50/'ICP-MS Total Metals'!$B41)</f>
        <v>724.36465930603379</v>
      </c>
      <c r="AG41" s="46">
        <f>IF('RAW ICP-MS Data'!AF37&lt;'ICP-MS Total Metals'!AG$13,'ICP-MS Total Metals'!AG$17,'RAW ICP-MS Data'!AF37*50/'ICP-MS Total Metals'!$B41)</f>
        <v>1054.2333029136628</v>
      </c>
      <c r="AH41" s="46">
        <f>IF('RAW ICP-MS Data'!AG37&lt;'ICP-MS Total Metals'!AH$13,'ICP-MS Total Metals'!AH$17,'RAW ICP-MS Data'!AG37*50/'ICP-MS Total Metals'!$B41)</f>
        <v>0</v>
      </c>
      <c r="AI41" s="46">
        <f>IF('RAW ICP-MS Data'!AH37&lt;'ICP-MS Total Metals'!AI$13,'ICP-MS Total Metals'!AI$17,'RAW ICP-MS Data'!AH37*50/'ICP-MS Total Metals'!$B41)</f>
        <v>0</v>
      </c>
      <c r="AJ41" s="46">
        <f>IF('RAW ICP-MS Data'!AI37&lt;'ICP-MS Total Metals'!AJ$13,'ICP-MS Total Metals'!AJ$17,'RAW ICP-MS Data'!AI37*50/'ICP-MS Total Metals'!$B41)</f>
        <v>11.894673496166268</v>
      </c>
      <c r="AK41" s="46">
        <f>IF('RAW ICP-MS Data'!AJ37&lt;'ICP-MS Total Metals'!AK$13,'ICP-MS Total Metals'!AK$17,'RAW ICP-MS Data'!AJ37*50/'ICP-MS Total Metals'!$B41)</f>
        <v>0</v>
      </c>
      <c r="AL41" s="46">
        <f>IF('RAW ICP-MS Data'!AK37&lt;'ICP-MS Total Metals'!AL$13,'ICP-MS Total Metals'!AL$17,'RAW ICP-MS Data'!AK37*50/'ICP-MS Total Metals'!$B41)</f>
        <v>17475.559772217464</v>
      </c>
      <c r="AM41" s="46">
        <f>IF('RAW ICP-MS Data'!AL37&lt;'ICP-MS Total Metals'!AM$13,'ICP-MS Total Metals'!AM$17,'RAW ICP-MS Data'!AL37*50/'ICP-MS Total Metals'!$B41)</f>
        <v>0</v>
      </c>
      <c r="AN41" s="46">
        <f>IF('RAW ICP-MS Data'!AM37&lt;'ICP-MS Total Metals'!AN$13,'ICP-MS Total Metals'!AN$17,'RAW ICP-MS Data'!AM37*50/'ICP-MS Total Metals'!$B41)</f>
        <v>0</v>
      </c>
    </row>
    <row r="42" spans="1:41" x14ac:dyDescent="0.25">
      <c r="A42" s="51">
        <f>'Raw ICP-OES Data'!A38</f>
        <v>0</v>
      </c>
      <c r="B42" s="116">
        <v>0.2046</v>
      </c>
      <c r="C42" s="46">
        <f>IF('RAW ICP-MS Data'!B38&lt;'ICP-MS Total Metals'!C$13,'ICP-MS Total Metals'!C$17,'RAW ICP-MS Data'!B38*50/'ICP-MS Total Metals'!$B42)</f>
        <v>6603.7479704699899</v>
      </c>
      <c r="D42" s="46">
        <f>IF('RAW ICP-MS Data'!C38&lt;'ICP-MS Total Metals'!D$13,'ICP-MS Total Metals'!D$17,'RAW ICP-MS Data'!C38*50/'ICP-MS Total Metals'!$B42)</f>
        <v>6417.0968543542767</v>
      </c>
      <c r="E42" s="46">
        <f>IF('RAW ICP-MS Data'!D38&lt;'ICP-MS Total Metals'!E$13,'ICP-MS Total Metals'!E$17,'RAW ICP-MS Data'!D38*50/'ICP-MS Total Metals'!$B42)</f>
        <v>1787.8860770928861</v>
      </c>
      <c r="F42" s="46">
        <f>IF('RAW ICP-MS Data'!E38&lt;'ICP-MS Total Metals'!F$13,'ICP-MS Total Metals'!F$17,'RAW ICP-MS Data'!E38*50/'ICP-MS Total Metals'!$B42)</f>
        <v>33557.9624776696</v>
      </c>
      <c r="G42" s="46">
        <f>IF('RAW ICP-MS Data'!F38&lt;'ICP-MS Total Metals'!G$13,'ICP-MS Total Metals'!G$17,'RAW ICP-MS Data'!F38*50/'ICP-MS Total Metals'!$B42)</f>
        <v>10571.542974504837</v>
      </c>
      <c r="H42" s="46">
        <f>IF('RAW ICP-MS Data'!G38&lt;'ICP-MS Total Metals'!H$13,'ICP-MS Total Metals'!H$17,'RAW ICP-MS Data'!G38*50/'ICP-MS Total Metals'!$B42)</f>
        <v>8104.7315585304259</v>
      </c>
      <c r="I42" s="46">
        <f>IF('RAW ICP-MS Data'!H38&lt;'ICP-MS Total Metals'!I$13,'ICP-MS Total Metals'!I$17,'RAW ICP-MS Data'!H38*50/'ICP-MS Total Metals'!$B42)</f>
        <v>714.39443863530551</v>
      </c>
      <c r="J42" s="46">
        <f>IF('RAW ICP-MS Data'!I38&lt;'ICP-MS Total Metals'!J$13,'ICP-MS Total Metals'!J$17,'RAW ICP-MS Data'!I38*50/'ICP-MS Total Metals'!$B42)</f>
        <v>178.19702342232969</v>
      </c>
      <c r="K42" s="46">
        <f>IF('RAW ICP-MS Data'!J38&lt;'ICP-MS Total Metals'!K$13,'ICP-MS Total Metals'!K$17,'RAW ICP-MS Data'!J38*50/'ICP-MS Total Metals'!$B42)</f>
        <v>36161.503558591641</v>
      </c>
      <c r="L42" s="46">
        <f>IF('RAW ICP-MS Data'!K38&lt;'ICP-MS Total Metals'!L$13,'ICP-MS Total Metals'!L$17,'RAW ICP-MS Data'!K38*50/'ICP-MS Total Metals'!$B42)</f>
        <v>797.9459456026101</v>
      </c>
      <c r="M42" s="46">
        <f>IF('RAW ICP-MS Data'!L38&lt;'ICP-MS Total Metals'!M$13,'ICP-MS Total Metals'!M$17,'RAW ICP-MS Data'!L38*50/'ICP-MS Total Metals'!$B42)</f>
        <v>4641.8795848532745</v>
      </c>
      <c r="N42" s="46">
        <f>IF('RAW ICP-MS Data'!M38&lt;'ICP-MS Total Metals'!N$13,'ICP-MS Total Metals'!N$17,'RAW ICP-MS Data'!M38*50/'ICP-MS Total Metals'!$B42)</f>
        <v>20178.314600178273</v>
      </c>
      <c r="O42" s="46">
        <f>IF('RAW ICP-MS Data'!N38&lt;'ICP-MS Total Metals'!O$13,'ICP-MS Total Metals'!O$17,'RAW ICP-MS Data'!N38*50/'ICP-MS Total Metals'!$B42)</f>
        <v>41605.31718189516</v>
      </c>
      <c r="P42" s="46">
        <f>IF('RAW ICP-MS Data'!O38&lt;'ICP-MS Total Metals'!P$13,'ICP-MS Total Metals'!P$17,'RAW ICP-MS Data'!O38*50/'ICP-MS Total Metals'!$B42)</f>
        <v>4735.7614601313053</v>
      </c>
      <c r="Q42" s="46">
        <f>IF('RAW ICP-MS Data'!P38&lt;'ICP-MS Total Metals'!Q$13,'ICP-MS Total Metals'!Q$17,'RAW ICP-MS Data'!P38*50/'ICP-MS Total Metals'!$B42)</f>
        <v>17896.542961997533</v>
      </c>
      <c r="R42" s="46">
        <f>IF('RAW ICP-MS Data'!Q38&lt;'ICP-MS Total Metals'!R$13,'ICP-MS Total Metals'!R$17,'RAW ICP-MS Data'!Q38*50/'ICP-MS Total Metals'!$B42)</f>
        <v>3594.2620382537389</v>
      </c>
      <c r="S42" s="46">
        <f>IF('RAW ICP-MS Data'!R38&lt;'ICP-MS Total Metals'!S$13,'ICP-MS Total Metals'!S$17,'RAW ICP-MS Data'!R38*50/'ICP-MS Total Metals'!$B42)</f>
        <v>993.06203053644902</v>
      </c>
      <c r="T42" s="46">
        <f>IF('RAW ICP-MS Data'!S38&lt;'ICP-MS Total Metals'!T$13,'ICP-MS Total Metals'!T$17,'RAW ICP-MS Data'!S38*50/'ICP-MS Total Metals'!$B42)</f>
        <v>3679.7467502665691</v>
      </c>
      <c r="U42" s="46">
        <f>IF('RAW ICP-MS Data'!T38&lt;'ICP-MS Total Metals'!U$13,'ICP-MS Total Metals'!U$17,'RAW ICP-MS Data'!T38*50/'ICP-MS Total Metals'!$B42)</f>
        <v>355.98001637952837</v>
      </c>
      <c r="V42" s="46">
        <f>IF('RAW ICP-MS Data'!U38&lt;'ICP-MS Total Metals'!V$13,'ICP-MS Total Metals'!V$17,'RAW ICP-MS Data'!U38*50/'ICP-MS Total Metals'!$B42)</f>
        <v>2239.1514591190203</v>
      </c>
      <c r="W42" s="46">
        <f>IF('RAW ICP-MS Data'!V38&lt;'ICP-MS Total Metals'!W$13,'ICP-MS Total Metals'!W$17,'RAW ICP-MS Data'!V38*50/'ICP-MS Total Metals'!$B42)</f>
        <v>433.92291485604113</v>
      </c>
      <c r="X42" s="46">
        <f>IF('RAW ICP-MS Data'!W38&lt;'ICP-MS Total Metals'!X$13,'ICP-MS Total Metals'!X$17,'RAW ICP-MS Data'!W38*50/'ICP-MS Total Metals'!$B42)</f>
        <v>1158.4329345974829</v>
      </c>
      <c r="Y42" s="46">
        <f>IF('RAW ICP-MS Data'!X38&lt;'ICP-MS Total Metals'!Y$13,'ICP-MS Total Metals'!Y$17,'RAW ICP-MS Data'!X38*50/'ICP-MS Total Metals'!$B42)</f>
        <v>165.80158223208895</v>
      </c>
      <c r="Z42" s="46">
        <f>IF('RAW ICP-MS Data'!Y38&lt;'ICP-MS Total Metals'!Z$13,'ICP-MS Total Metals'!Z$17,'RAW ICP-MS Data'!Y38*50/'ICP-MS Total Metals'!$B42)</f>
        <v>955.75038942102401</v>
      </c>
      <c r="AA42" s="46">
        <f>IF('RAW ICP-MS Data'!Z38&lt;'ICP-MS Total Metals'!AA$13,'ICP-MS Total Metals'!AA$17,'RAW ICP-MS Data'!Z38*50/'ICP-MS Total Metals'!$B42)</f>
        <v>144.26316030488684</v>
      </c>
      <c r="AB42" s="46">
        <f>IF('RAW ICP-MS Data'!AA38&lt;'ICP-MS Total Metals'!AB$13,'ICP-MS Total Metals'!AB$17,'RAW ICP-MS Data'!AA38*50/'ICP-MS Total Metals'!$B42)</f>
        <v>375.10693439568911</v>
      </c>
      <c r="AC42" s="46">
        <f>IF('RAW ICP-MS Data'!AB38&lt;'ICP-MS Total Metals'!AC$13,'ICP-MS Total Metals'!AC$17,'RAW ICP-MS Data'!AB38*50/'ICP-MS Total Metals'!$B42)</f>
        <v>142.08853897689539</v>
      </c>
      <c r="AD42" s="46">
        <f>IF('RAW ICP-MS Data'!AC38&lt;'ICP-MS Total Metals'!AD$13,'ICP-MS Total Metals'!AD$17,'RAW ICP-MS Data'!AC38*50/'ICP-MS Total Metals'!$B42)</f>
        <v>352.60145644065977</v>
      </c>
      <c r="AE42" s="46">
        <f>IF('RAW ICP-MS Data'!AD38&lt;'ICP-MS Total Metals'!AE$13,'ICP-MS Total Metals'!AE$17,'RAW ICP-MS Data'!AD38*50/'ICP-MS Total Metals'!$B42)</f>
        <v>901.73127035138805</v>
      </c>
      <c r="AF42" s="46">
        <f>IF('RAW ICP-MS Data'!AE38&lt;'ICP-MS Total Metals'!AF$13,'ICP-MS Total Metals'!AF$17,'RAW ICP-MS Data'!AE38*50/'ICP-MS Total Metals'!$B42)</f>
        <v>8697.0739477414718</v>
      </c>
      <c r="AG42" s="46">
        <f>IF('RAW ICP-MS Data'!AF38&lt;'ICP-MS Total Metals'!AG$13,'ICP-MS Total Metals'!AG$17,'RAW ICP-MS Data'!AF38*50/'ICP-MS Total Metals'!$B42)</f>
        <v>1886.0377088146386</v>
      </c>
      <c r="AH42" s="46">
        <f>IF('RAW ICP-MS Data'!AG38&lt;'ICP-MS Total Metals'!AH$13,'ICP-MS Total Metals'!AH$17,'RAW ICP-MS Data'!AG38*50/'ICP-MS Total Metals'!$B42)</f>
        <v>0</v>
      </c>
      <c r="AI42" s="46">
        <f>IF('RAW ICP-MS Data'!AH38&lt;'ICP-MS Total Metals'!AI$13,'ICP-MS Total Metals'!AI$17,'RAW ICP-MS Data'!AH38*50/'ICP-MS Total Metals'!$B42)</f>
        <v>0</v>
      </c>
      <c r="AJ42" s="46">
        <f>IF('RAW ICP-MS Data'!AI38&lt;'ICP-MS Total Metals'!AJ$13,'ICP-MS Total Metals'!AJ$17,'RAW ICP-MS Data'!AI38*50/'ICP-MS Total Metals'!$B42)</f>
        <v>0</v>
      </c>
      <c r="AK42" s="46">
        <f>IF('RAW ICP-MS Data'!AJ38&lt;'ICP-MS Total Metals'!AK$13,'ICP-MS Total Metals'!AK$17,'RAW ICP-MS Data'!AJ38*50/'ICP-MS Total Metals'!$B42)</f>
        <v>0</v>
      </c>
      <c r="AL42" s="46">
        <f>IF('RAW ICP-MS Data'!AK38&lt;'ICP-MS Total Metals'!AL$13,'ICP-MS Total Metals'!AL$17,'RAW ICP-MS Data'!AK38*50/'ICP-MS Total Metals'!$B42)</f>
        <v>248.64691132273214</v>
      </c>
      <c r="AM42" s="46">
        <f>IF('RAW ICP-MS Data'!AL38&lt;'ICP-MS Total Metals'!AM$13,'ICP-MS Total Metals'!AM$17,'RAW ICP-MS Data'!AL38*50/'ICP-MS Total Metals'!$B42)</f>
        <v>248.67111443898096</v>
      </c>
      <c r="AN42" s="46">
        <f>IF('RAW ICP-MS Data'!AM38&lt;'ICP-MS Total Metals'!AN$13,'ICP-MS Total Metals'!AN$17,'RAW ICP-MS Data'!AM38*50/'ICP-MS Total Metals'!$B42)</f>
        <v>0</v>
      </c>
    </row>
    <row r="43" spans="1:41" ht="15.75" thickBot="1" x14ac:dyDescent="0.3">
      <c r="A43" s="51"/>
      <c r="B43" s="11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</row>
    <row r="44" spans="1:41" s="33" customFormat="1" ht="15.75" thickBot="1" x14ac:dyDescent="0.3">
      <c r="A44" s="146" t="s">
        <v>10</v>
      </c>
      <c r="C44" s="126" t="s">
        <v>130</v>
      </c>
      <c r="D44" s="127" t="s">
        <v>131</v>
      </c>
      <c r="E44" s="127" t="s">
        <v>132</v>
      </c>
      <c r="F44" s="127" t="s">
        <v>133</v>
      </c>
      <c r="G44" s="127" t="s">
        <v>134</v>
      </c>
      <c r="H44" s="127" t="s">
        <v>135</v>
      </c>
      <c r="I44" s="127" t="s">
        <v>136</v>
      </c>
      <c r="J44" s="127" t="s">
        <v>137</v>
      </c>
      <c r="K44" s="127" t="s">
        <v>138</v>
      </c>
      <c r="L44" s="127" t="s">
        <v>139</v>
      </c>
      <c r="M44" s="127" t="s">
        <v>140</v>
      </c>
      <c r="N44" s="127" t="s">
        <v>141</v>
      </c>
      <c r="O44" s="127" t="s">
        <v>142</v>
      </c>
      <c r="P44" s="127" t="s">
        <v>143</v>
      </c>
      <c r="Q44" s="127" t="s">
        <v>144</v>
      </c>
      <c r="R44" s="127" t="s">
        <v>145</v>
      </c>
      <c r="S44" s="127" t="s">
        <v>146</v>
      </c>
      <c r="T44" s="127" t="s">
        <v>147</v>
      </c>
      <c r="U44" s="127" t="s">
        <v>148</v>
      </c>
      <c r="V44" s="127" t="s">
        <v>149</v>
      </c>
      <c r="W44" s="127" t="s">
        <v>150</v>
      </c>
      <c r="X44" s="127" t="s">
        <v>151</v>
      </c>
      <c r="Y44" s="127" t="s">
        <v>152</v>
      </c>
      <c r="Z44" s="127" t="s">
        <v>153</v>
      </c>
      <c r="AA44" s="128" t="s">
        <v>154</v>
      </c>
      <c r="AB44" s="129" t="s">
        <v>155</v>
      </c>
      <c r="AC44" s="129" t="s">
        <v>156</v>
      </c>
      <c r="AD44" s="129" t="s">
        <v>157</v>
      </c>
      <c r="AE44" s="129" t="s">
        <v>158</v>
      </c>
      <c r="AF44" s="129" t="s">
        <v>159</v>
      </c>
      <c r="AG44" s="129" t="s">
        <v>160</v>
      </c>
      <c r="AH44" s="142" t="s">
        <v>184</v>
      </c>
      <c r="AI44" s="127" t="s">
        <v>185</v>
      </c>
      <c r="AJ44" s="127" t="s">
        <v>186</v>
      </c>
      <c r="AK44" s="127" t="s">
        <v>187</v>
      </c>
      <c r="AL44" s="127" t="s">
        <v>188</v>
      </c>
      <c r="AM44" s="127" t="s">
        <v>189</v>
      </c>
      <c r="AN44" s="127" t="s">
        <v>190</v>
      </c>
      <c r="AO44" s="127"/>
    </row>
    <row r="45" spans="1:41" s="33" customFormat="1" x14ac:dyDescent="0.25">
      <c r="A45" s="146"/>
      <c r="C45" s="130" t="s">
        <v>130</v>
      </c>
      <c r="D45" s="130" t="s">
        <v>131</v>
      </c>
      <c r="E45" s="130" t="s">
        <v>132</v>
      </c>
      <c r="F45" s="130" t="s">
        <v>133</v>
      </c>
      <c r="G45" s="130" t="s">
        <v>134</v>
      </c>
      <c r="H45" s="130" t="s">
        <v>135</v>
      </c>
      <c r="I45" s="130" t="s">
        <v>136</v>
      </c>
      <c r="J45" s="130" t="s">
        <v>137</v>
      </c>
      <c r="K45" s="130" t="s">
        <v>138</v>
      </c>
      <c r="L45" s="130" t="s">
        <v>139</v>
      </c>
      <c r="M45" s="130" t="s">
        <v>140</v>
      </c>
      <c r="N45" s="130" t="s">
        <v>141</v>
      </c>
      <c r="O45" s="130" t="s">
        <v>142</v>
      </c>
      <c r="P45" s="130" t="s">
        <v>143</v>
      </c>
      <c r="Q45" s="130" t="s">
        <v>144</v>
      </c>
      <c r="R45" s="130" t="s">
        <v>145</v>
      </c>
      <c r="S45" s="130" t="s">
        <v>146</v>
      </c>
      <c r="T45" s="130" t="s">
        <v>147</v>
      </c>
      <c r="U45" s="130" t="s">
        <v>148</v>
      </c>
      <c r="V45" s="130" t="s">
        <v>149</v>
      </c>
      <c r="W45" s="130" t="s">
        <v>150</v>
      </c>
      <c r="X45" s="130" t="s">
        <v>151</v>
      </c>
      <c r="Y45" s="130" t="s">
        <v>152</v>
      </c>
      <c r="Z45" s="130" t="s">
        <v>153</v>
      </c>
      <c r="AA45" s="130" t="s">
        <v>154</v>
      </c>
      <c r="AB45" s="130" t="s">
        <v>155</v>
      </c>
      <c r="AC45" s="130" t="s">
        <v>156</v>
      </c>
      <c r="AD45" s="130" t="s">
        <v>157</v>
      </c>
      <c r="AE45" s="130" t="s">
        <v>158</v>
      </c>
      <c r="AF45" s="130" t="s">
        <v>159</v>
      </c>
      <c r="AG45" s="130" t="s">
        <v>160</v>
      </c>
      <c r="AH45" s="143" t="s">
        <v>184</v>
      </c>
      <c r="AI45" s="143" t="s">
        <v>185</v>
      </c>
      <c r="AJ45" s="143" t="s">
        <v>186</v>
      </c>
      <c r="AK45" s="143" t="s">
        <v>187</v>
      </c>
      <c r="AL45" s="143" t="s">
        <v>188</v>
      </c>
      <c r="AM45" s="143" t="s">
        <v>189</v>
      </c>
      <c r="AN45" s="143" t="s">
        <v>190</v>
      </c>
      <c r="AO45" s="143"/>
    </row>
    <row r="46" spans="1:41" s="2" customFormat="1" ht="15.75" thickBot="1" x14ac:dyDescent="0.3">
      <c r="C46" s="131" t="s">
        <v>22</v>
      </c>
      <c r="D46" s="131" t="s">
        <v>22</v>
      </c>
      <c r="E46" s="131" t="s">
        <v>22</v>
      </c>
      <c r="F46" s="131" t="s">
        <v>22</v>
      </c>
      <c r="G46" s="131" t="s">
        <v>22</v>
      </c>
      <c r="H46" s="131" t="s">
        <v>22</v>
      </c>
      <c r="I46" s="131" t="s">
        <v>22</v>
      </c>
      <c r="J46" s="131" t="s">
        <v>22</v>
      </c>
      <c r="K46" s="131" t="s">
        <v>22</v>
      </c>
      <c r="L46" s="131" t="s">
        <v>22</v>
      </c>
      <c r="M46" s="131" t="s">
        <v>22</v>
      </c>
      <c r="N46" s="131" t="s">
        <v>22</v>
      </c>
      <c r="O46" s="131" t="s">
        <v>22</v>
      </c>
      <c r="P46" s="131" t="s">
        <v>22</v>
      </c>
      <c r="Q46" s="131" t="s">
        <v>22</v>
      </c>
      <c r="R46" s="131" t="s">
        <v>22</v>
      </c>
      <c r="S46" s="131" t="s">
        <v>22</v>
      </c>
      <c r="T46" s="131" t="s">
        <v>22</v>
      </c>
      <c r="U46" s="131" t="s">
        <v>22</v>
      </c>
      <c r="V46" s="131" t="s">
        <v>22</v>
      </c>
      <c r="W46" s="131" t="s">
        <v>22</v>
      </c>
      <c r="X46" s="131" t="s">
        <v>22</v>
      </c>
      <c r="Y46" s="131" t="s">
        <v>22</v>
      </c>
      <c r="Z46" s="131" t="s">
        <v>22</v>
      </c>
      <c r="AA46" s="131" t="s">
        <v>22</v>
      </c>
      <c r="AB46" s="131" t="s">
        <v>22</v>
      </c>
      <c r="AC46" s="131" t="s">
        <v>22</v>
      </c>
      <c r="AD46" s="131" t="s">
        <v>22</v>
      </c>
      <c r="AE46" s="131" t="s">
        <v>22</v>
      </c>
      <c r="AF46" s="131" t="s">
        <v>22</v>
      </c>
      <c r="AG46" s="131" t="s">
        <v>22</v>
      </c>
      <c r="AH46" s="131" t="s">
        <v>22</v>
      </c>
      <c r="AI46" s="131" t="s">
        <v>22</v>
      </c>
      <c r="AJ46" s="131" t="s">
        <v>22</v>
      </c>
      <c r="AK46" s="131" t="s">
        <v>22</v>
      </c>
      <c r="AL46" s="131" t="s">
        <v>22</v>
      </c>
      <c r="AM46" s="131" t="s">
        <v>22</v>
      </c>
      <c r="AN46" s="131" t="s">
        <v>22</v>
      </c>
      <c r="AO46" s="131"/>
    </row>
    <row r="47" spans="1:41" x14ac:dyDescent="0.25">
      <c r="A47" s="132" t="s">
        <v>107</v>
      </c>
      <c r="C47" s="23">
        <f>C24/1000</f>
        <v>1.5707809764120655</v>
      </c>
      <c r="D47" s="23">
        <f t="shared" ref="D47:AG55" si="0">D24/1000</f>
        <v>0.73218199804406503</v>
      </c>
      <c r="E47" s="23">
        <f t="shared" si="0"/>
        <v>1.6499307965400216</v>
      </c>
      <c r="F47" s="23">
        <f t="shared" si="0"/>
        <v>1.9619804095650317</v>
      </c>
      <c r="G47" s="23">
        <f t="shared" si="0"/>
        <v>10.870840387867059</v>
      </c>
      <c r="H47" s="23">
        <f t="shared" si="0"/>
        <v>2.1979014814672593</v>
      </c>
      <c r="I47" s="23">
        <f t="shared" si="0"/>
        <v>8.9844005619627437E-2</v>
      </c>
      <c r="J47" s="23">
        <f t="shared" si="0"/>
        <v>1.3526045759236613</v>
      </c>
      <c r="K47" s="23">
        <f t="shared" si="0"/>
        <v>75.974465751790035</v>
      </c>
      <c r="L47" s="23">
        <f t="shared" si="0"/>
        <v>0.15919022922108769</v>
      </c>
      <c r="M47" s="23">
        <f t="shared" si="0"/>
        <v>0.53190792719483926</v>
      </c>
      <c r="N47" s="23">
        <f t="shared" si="0"/>
        <v>6.0752093473557531</v>
      </c>
      <c r="O47" s="23">
        <f t="shared" si="0"/>
        <v>21.457161420557131</v>
      </c>
      <c r="P47" s="23">
        <f t="shared" si="0"/>
        <v>2.2879707785404113</v>
      </c>
      <c r="Q47" s="23">
        <f t="shared" si="0"/>
        <v>9.5314152571425517</v>
      </c>
      <c r="R47" s="23">
        <f t="shared" si="0"/>
        <v>2.2050329864826606</v>
      </c>
      <c r="S47" s="23">
        <f t="shared" si="0"/>
        <v>0.46368803308763684</v>
      </c>
      <c r="T47" s="23">
        <f t="shared" si="0"/>
        <v>2.5059573115105973</v>
      </c>
      <c r="U47" s="23">
        <f t="shared" si="0"/>
        <v>0.3100984243882331</v>
      </c>
      <c r="V47" s="23">
        <f t="shared" si="0"/>
        <v>1.9950357273633039</v>
      </c>
      <c r="W47" s="23">
        <f t="shared" si="0"/>
        <v>0.41722699777713035</v>
      </c>
      <c r="X47" s="23">
        <f t="shared" si="0"/>
        <v>1.1972838532853276</v>
      </c>
      <c r="Y47" s="23">
        <f t="shared" si="0"/>
        <v>0.15742134211535358</v>
      </c>
      <c r="Z47" s="23">
        <f t="shared" si="0"/>
        <v>1.000842738654125</v>
      </c>
      <c r="AA47" s="23">
        <f t="shared" si="0"/>
        <v>0.13980125596552137</v>
      </c>
      <c r="AB47" s="23">
        <f t="shared" si="0"/>
        <v>0.1195865609536426</v>
      </c>
      <c r="AC47" s="23">
        <f t="shared" si="0"/>
        <v>2.143658006948761E-2</v>
      </c>
      <c r="AD47" s="23">
        <f t="shared" si="0"/>
        <v>6.7017852710479026E-2</v>
      </c>
      <c r="AE47" s="23">
        <f t="shared" si="0"/>
        <v>0.89602394605464941</v>
      </c>
      <c r="AF47" s="23">
        <f t="shared" si="0"/>
        <v>1.5317474536489013</v>
      </c>
      <c r="AG47" s="23">
        <f t="shared" si="0"/>
        <v>0.84814348337666778</v>
      </c>
      <c r="AH47" s="23">
        <f t="shared" ref="AH47:AN62" si="1">AH24/1000</f>
        <v>0</v>
      </c>
      <c r="AI47" s="23">
        <f t="shared" si="1"/>
        <v>3.3821421576662999E-2</v>
      </c>
      <c r="AJ47" s="23">
        <f t="shared" si="1"/>
        <v>0.44437494864791144</v>
      </c>
      <c r="AK47" s="23">
        <f t="shared" si="1"/>
        <v>0.11156535447130042</v>
      </c>
      <c r="AL47" s="23">
        <f t="shared" si="1"/>
        <v>8.8696322631894411</v>
      </c>
      <c r="AM47" s="23">
        <f t="shared" si="1"/>
        <v>3.5929969888869859E-2</v>
      </c>
      <c r="AN47" s="23">
        <f t="shared" si="1"/>
        <v>0</v>
      </c>
    </row>
    <row r="48" spans="1:41" x14ac:dyDescent="0.25">
      <c r="A48" s="132" t="s">
        <v>108</v>
      </c>
      <c r="C48" s="23">
        <f t="shared" ref="C48:R64" si="2">C25/1000</f>
        <v>1.3943882046979486</v>
      </c>
      <c r="D48" s="23">
        <f t="shared" si="2"/>
        <v>0.51598798835671711</v>
      </c>
      <c r="E48" s="23">
        <f t="shared" si="2"/>
        <v>1.623894732441415</v>
      </c>
      <c r="F48" s="23">
        <f t="shared" si="2"/>
        <v>1.5406554719069645</v>
      </c>
      <c r="G48" s="23">
        <f t="shared" si="2"/>
        <v>10.075814239584849</v>
      </c>
      <c r="H48" s="23">
        <f t="shared" si="2"/>
        <v>1.926203594387863</v>
      </c>
      <c r="I48" s="23">
        <f t="shared" si="2"/>
        <v>6.9095656166417441E-2</v>
      </c>
      <c r="J48" s="23">
        <f t="shared" si="2"/>
        <v>0.80473759662642896</v>
      </c>
      <c r="K48" s="23">
        <f t="shared" si="2"/>
        <v>295.83739361221336</v>
      </c>
      <c r="L48" s="23">
        <f t="shared" si="2"/>
        <v>7.5622519373995306E-2</v>
      </c>
      <c r="M48" s="23">
        <f t="shared" si="2"/>
        <v>0.42608491701504198</v>
      </c>
      <c r="N48" s="23">
        <f t="shared" si="2"/>
        <v>5.5364961061811089</v>
      </c>
      <c r="O48" s="23">
        <f t="shared" si="2"/>
        <v>19.311710791681708</v>
      </c>
      <c r="P48" s="23">
        <f t="shared" si="2"/>
        <v>2.0796777480956177</v>
      </c>
      <c r="Q48" s="23">
        <f t="shared" si="2"/>
        <v>8.5142063373921335</v>
      </c>
      <c r="R48" s="23">
        <f t="shared" si="2"/>
        <v>1.9424833969544226</v>
      </c>
      <c r="S48" s="23">
        <f t="shared" si="0"/>
        <v>0.41848317784340106</v>
      </c>
      <c r="T48" s="23">
        <f t="shared" si="0"/>
        <v>2.2591838504266861</v>
      </c>
      <c r="U48" s="23">
        <f t="shared" si="0"/>
        <v>0.26125398662257659</v>
      </c>
      <c r="V48" s="23">
        <f t="shared" si="0"/>
        <v>1.8307897217382734</v>
      </c>
      <c r="W48" s="23">
        <f t="shared" si="0"/>
        <v>0.3771548739108615</v>
      </c>
      <c r="X48" s="23">
        <f t="shared" si="0"/>
        <v>1.0921266185570342</v>
      </c>
      <c r="Y48" s="23">
        <f t="shared" si="0"/>
        <v>0.14535001681401644</v>
      </c>
      <c r="Z48" s="23">
        <f t="shared" si="0"/>
        <v>0.92641285111902238</v>
      </c>
      <c r="AA48" s="23">
        <f t="shared" si="0"/>
        <v>0.13034168155840806</v>
      </c>
      <c r="AB48" s="23">
        <f t="shared" si="0"/>
        <v>9.3379438274895532E-2</v>
      </c>
      <c r="AC48" s="23">
        <f t="shared" si="0"/>
        <v>1.2564974226096058E-2</v>
      </c>
      <c r="AD48" s="23">
        <f t="shared" si="0"/>
        <v>5.1923691424469988E-2</v>
      </c>
      <c r="AE48" s="23">
        <f t="shared" si="0"/>
        <v>0.98503713314759456</v>
      </c>
      <c r="AF48" s="23">
        <f t="shared" si="0"/>
        <v>1.3969903571572244</v>
      </c>
      <c r="AG48" s="23">
        <f t="shared" si="0"/>
        <v>0.77247967819861019</v>
      </c>
      <c r="AH48" s="23">
        <f t="shared" si="1"/>
        <v>0</v>
      </c>
      <c r="AI48" s="23">
        <f t="shared" si="1"/>
        <v>8.6550072036789983E-3</v>
      </c>
      <c r="AJ48" s="23">
        <f t="shared" si="1"/>
        <v>0.29658715715496298</v>
      </c>
      <c r="AK48" s="23">
        <f t="shared" si="1"/>
        <v>0</v>
      </c>
      <c r="AL48" s="23">
        <f t="shared" si="1"/>
        <v>11.1137161113329</v>
      </c>
      <c r="AM48" s="23">
        <f t="shared" si="1"/>
        <v>0</v>
      </c>
      <c r="AN48" s="23">
        <f t="shared" si="1"/>
        <v>0</v>
      </c>
    </row>
    <row r="49" spans="1:40" x14ac:dyDescent="0.25">
      <c r="A49" s="132" t="s">
        <v>109</v>
      </c>
      <c r="C49" s="23">
        <f t="shared" si="2"/>
        <v>1.4828659189983922</v>
      </c>
      <c r="D49" s="23">
        <f t="shared" si="0"/>
        <v>0.7910818639794257</v>
      </c>
      <c r="E49" s="23">
        <f t="shared" si="0"/>
        <v>1.733766360977711</v>
      </c>
      <c r="F49" s="23">
        <f t="shared" si="0"/>
        <v>1.9826547956599461</v>
      </c>
      <c r="G49" s="23">
        <f t="shared" si="0"/>
        <v>10.35714411098512</v>
      </c>
      <c r="H49" s="23">
        <f t="shared" si="0"/>
        <v>2.1941242255424309</v>
      </c>
      <c r="I49" s="23">
        <f t="shared" si="0"/>
        <v>7.1586743417564699E-2</v>
      </c>
      <c r="J49" s="23">
        <f t="shared" si="0"/>
        <v>0.58648212310673953</v>
      </c>
      <c r="K49" s="23">
        <f t="shared" si="0"/>
        <v>459.31634981061103</v>
      </c>
      <c r="L49" s="23">
        <f t="shared" si="0"/>
        <v>4.3974348035756637E-2</v>
      </c>
      <c r="M49" s="23">
        <f t="shared" si="0"/>
        <v>0.40124981213301175</v>
      </c>
      <c r="N49" s="23">
        <f t="shared" si="0"/>
        <v>5.9976091594930487</v>
      </c>
      <c r="O49" s="23">
        <f t="shared" si="0"/>
        <v>20.762497632832634</v>
      </c>
      <c r="P49" s="23">
        <f t="shared" si="0"/>
        <v>2.2048125309897144</v>
      </c>
      <c r="Q49" s="23">
        <f t="shared" si="0"/>
        <v>8.9828309173819445</v>
      </c>
      <c r="R49" s="23">
        <f t="shared" si="0"/>
        <v>2.0608898450606654</v>
      </c>
      <c r="S49" s="23">
        <f t="shared" si="0"/>
        <v>0.4329259797862961</v>
      </c>
      <c r="T49" s="23">
        <f t="shared" si="0"/>
        <v>2.3704136089252845</v>
      </c>
      <c r="U49" s="23">
        <f t="shared" si="0"/>
        <v>0.29956219656655081</v>
      </c>
      <c r="V49" s="23">
        <f t="shared" si="0"/>
        <v>1.8982297637270618</v>
      </c>
      <c r="W49" s="23">
        <f t="shared" si="0"/>
        <v>0.39989771725376272</v>
      </c>
      <c r="X49" s="23">
        <f t="shared" si="0"/>
        <v>1.1196311300125226</v>
      </c>
      <c r="Y49" s="23">
        <f t="shared" si="0"/>
        <v>0.15753833271664169</v>
      </c>
      <c r="Z49" s="23">
        <f t="shared" si="0"/>
        <v>0.94891848251856392</v>
      </c>
      <c r="AA49" s="23">
        <f t="shared" si="0"/>
        <v>0.13894733067974335</v>
      </c>
      <c r="AB49" s="23">
        <f t="shared" si="0"/>
        <v>0.10708705261662073</v>
      </c>
      <c r="AC49" s="23">
        <f t="shared" si="0"/>
        <v>1.0673427415040142E-2</v>
      </c>
      <c r="AD49" s="23">
        <f t="shared" si="0"/>
        <v>5.8892340749956751E-2</v>
      </c>
      <c r="AE49" s="23">
        <f t="shared" si="0"/>
        <v>0.41155791033374073</v>
      </c>
      <c r="AF49" s="23">
        <f t="shared" si="0"/>
        <v>1.5535884213893649</v>
      </c>
      <c r="AG49" s="23">
        <f t="shared" si="0"/>
        <v>0.77341341690312637</v>
      </c>
      <c r="AH49" s="23">
        <f t="shared" si="1"/>
        <v>0</v>
      </c>
      <c r="AI49" s="23">
        <f t="shared" si="1"/>
        <v>4.0129117265363681E-2</v>
      </c>
      <c r="AJ49" s="23">
        <f t="shared" si="1"/>
        <v>0.50422918109674153</v>
      </c>
      <c r="AK49" s="23">
        <f t="shared" si="1"/>
        <v>0</v>
      </c>
      <c r="AL49" s="23">
        <f t="shared" si="1"/>
        <v>22.104238719703016</v>
      </c>
      <c r="AM49" s="23">
        <f t="shared" si="1"/>
        <v>0</v>
      </c>
      <c r="AN49" s="23">
        <f t="shared" si="1"/>
        <v>0</v>
      </c>
    </row>
    <row r="50" spans="1:40" x14ac:dyDescent="0.25">
      <c r="A50" s="132" t="s">
        <v>110</v>
      </c>
      <c r="C50" s="23">
        <f t="shared" si="2"/>
        <v>1.7586522059925112</v>
      </c>
      <c r="D50" s="23">
        <f t="shared" si="0"/>
        <v>1.0721092911460113</v>
      </c>
      <c r="E50" s="23">
        <f t="shared" si="0"/>
        <v>2.0440725031668432</v>
      </c>
      <c r="F50" s="23">
        <f t="shared" si="0"/>
        <v>3.244734190004817</v>
      </c>
      <c r="G50" s="23">
        <f t="shared" si="0"/>
        <v>11.164623407358896</v>
      </c>
      <c r="H50" s="23">
        <f t="shared" si="0"/>
        <v>2.7639381447727462</v>
      </c>
      <c r="I50" s="23">
        <f t="shared" si="0"/>
        <v>5.3593826837110392E-2</v>
      </c>
      <c r="J50" s="23">
        <f t="shared" si="0"/>
        <v>0.66477770369922229</v>
      </c>
      <c r="K50" s="23">
        <f t="shared" si="0"/>
        <v>133.34356199824592</v>
      </c>
      <c r="L50" s="23">
        <f t="shared" si="0"/>
        <v>5.0495264192504594E-2</v>
      </c>
      <c r="M50" s="23">
        <f t="shared" si="0"/>
        <v>0.50806398857908963</v>
      </c>
      <c r="N50" s="23">
        <f t="shared" si="0"/>
        <v>5.5906960271688666</v>
      </c>
      <c r="O50" s="23">
        <f t="shared" si="0"/>
        <v>19.979574923563426</v>
      </c>
      <c r="P50" s="23">
        <f t="shared" si="0"/>
        <v>2.2122507889557341</v>
      </c>
      <c r="Q50" s="23">
        <f t="shared" si="0"/>
        <v>9.249424772594546</v>
      </c>
      <c r="R50" s="23">
        <f t="shared" si="0"/>
        <v>2.2005158110344638</v>
      </c>
      <c r="S50" s="23">
        <f t="shared" si="0"/>
        <v>0.4907597127496281</v>
      </c>
      <c r="T50" s="23">
        <f t="shared" si="0"/>
        <v>2.5118643709128841</v>
      </c>
      <c r="U50" s="23">
        <f t="shared" si="0"/>
        <v>0.3170456734764639</v>
      </c>
      <c r="V50" s="23">
        <f t="shared" si="0"/>
        <v>2.1084621185457126</v>
      </c>
      <c r="W50" s="23">
        <f t="shared" si="0"/>
        <v>0.43442772088775528</v>
      </c>
      <c r="X50" s="23">
        <f t="shared" si="0"/>
        <v>1.3034607469482251</v>
      </c>
      <c r="Y50" s="23">
        <f t="shared" si="0"/>
        <v>0.17483568104393302</v>
      </c>
      <c r="Z50" s="23">
        <f t="shared" si="0"/>
        <v>1.0539618360106404</v>
      </c>
      <c r="AA50" s="23">
        <f t="shared" si="0"/>
        <v>0.15884745413011866</v>
      </c>
      <c r="AB50" s="23">
        <f t="shared" si="0"/>
        <v>0.12224502242184285</v>
      </c>
      <c r="AC50" s="23">
        <f t="shared" si="0"/>
        <v>9.8841528758797804E-3</v>
      </c>
      <c r="AD50" s="23">
        <f t="shared" si="0"/>
        <v>4.3201108930300262E-2</v>
      </c>
      <c r="AE50" s="23">
        <f t="shared" si="0"/>
        <v>0.54495540078551352</v>
      </c>
      <c r="AF50" s="23">
        <f t="shared" si="0"/>
        <v>1.7078302640813026</v>
      </c>
      <c r="AG50" s="23">
        <f t="shared" si="0"/>
        <v>1.0031057273706923</v>
      </c>
      <c r="AH50" s="23">
        <f t="shared" si="1"/>
        <v>0</v>
      </c>
      <c r="AI50" s="23">
        <f t="shared" si="1"/>
        <v>9.5009373678328582E-2</v>
      </c>
      <c r="AJ50" s="23">
        <f t="shared" si="1"/>
        <v>0.84579141143884429</v>
      </c>
      <c r="AK50" s="23">
        <f t="shared" si="1"/>
        <v>0</v>
      </c>
      <c r="AL50" s="23">
        <f t="shared" si="1"/>
        <v>2.4778362804402874</v>
      </c>
      <c r="AM50" s="23">
        <f t="shared" si="1"/>
        <v>0</v>
      </c>
      <c r="AN50" s="23">
        <f t="shared" si="1"/>
        <v>0</v>
      </c>
    </row>
    <row r="51" spans="1:40" x14ac:dyDescent="0.25">
      <c r="A51" s="132" t="s">
        <v>111</v>
      </c>
      <c r="C51" s="23">
        <f t="shared" si="2"/>
        <v>1.6463510987352783</v>
      </c>
      <c r="D51" s="23">
        <f t="shared" si="0"/>
        <v>0.963362201238817</v>
      </c>
      <c r="E51" s="23">
        <f t="shared" si="0"/>
        <v>2.0959470389218575</v>
      </c>
      <c r="F51" s="23">
        <f t="shared" si="0"/>
        <v>2.925499605885248</v>
      </c>
      <c r="G51" s="23">
        <f t="shared" si="0"/>
        <v>10.960605193906925</v>
      </c>
      <c r="H51" s="23">
        <f t="shared" si="0"/>
        <v>2.571085566851361</v>
      </c>
      <c r="I51" s="23">
        <f t="shared" si="0"/>
        <v>5.66995746053746E-2</v>
      </c>
      <c r="J51" s="23">
        <f t="shared" si="0"/>
        <v>0.60957413755975476</v>
      </c>
      <c r="K51" s="23">
        <f t="shared" si="0"/>
        <v>489.53793763872602</v>
      </c>
      <c r="L51" s="23">
        <f t="shared" si="0"/>
        <v>3.9874953319646619E-2</v>
      </c>
      <c r="M51" s="23">
        <f t="shared" si="0"/>
        <v>0.50512212560164338</v>
      </c>
      <c r="N51" s="23">
        <f t="shared" si="0"/>
        <v>5.6175659740123001</v>
      </c>
      <c r="O51" s="23">
        <f t="shared" si="0"/>
        <v>20.259828325536731</v>
      </c>
      <c r="P51" s="23">
        <f t="shared" si="0"/>
        <v>2.2725220576949461</v>
      </c>
      <c r="Q51" s="23">
        <f t="shared" si="0"/>
        <v>9.5248594703493303</v>
      </c>
      <c r="R51" s="23">
        <f t="shared" si="0"/>
        <v>2.211432331011439</v>
      </c>
      <c r="S51" s="23">
        <f t="shared" si="0"/>
        <v>0.49437217284037638</v>
      </c>
      <c r="T51" s="23">
        <f t="shared" si="0"/>
        <v>2.5024917026150719</v>
      </c>
      <c r="U51" s="23">
        <f t="shared" si="0"/>
        <v>0.31820873758729085</v>
      </c>
      <c r="V51" s="23">
        <f t="shared" si="0"/>
        <v>2.0745512095045835</v>
      </c>
      <c r="W51" s="23">
        <f t="shared" si="0"/>
        <v>0.42867809428062853</v>
      </c>
      <c r="X51" s="23">
        <f t="shared" si="0"/>
        <v>1.2142668484078862</v>
      </c>
      <c r="Y51" s="23">
        <f t="shared" si="0"/>
        <v>0.16501778644879403</v>
      </c>
      <c r="Z51" s="23">
        <f t="shared" si="0"/>
        <v>1.0163197868732987</v>
      </c>
      <c r="AA51" s="23">
        <f t="shared" si="0"/>
        <v>0.14376415061938252</v>
      </c>
      <c r="AB51" s="23">
        <f t="shared" si="0"/>
        <v>0.12178670913372598</v>
      </c>
      <c r="AC51" s="23">
        <f t="shared" si="0"/>
        <v>9.2423217950560743E-3</v>
      </c>
      <c r="AD51" s="23">
        <f t="shared" si="0"/>
        <v>4.6838238203452863E-2</v>
      </c>
      <c r="AE51" s="23">
        <f t="shared" si="0"/>
        <v>0.55422044650721081</v>
      </c>
      <c r="AF51" s="23">
        <f t="shared" si="0"/>
        <v>1.7468782143340877</v>
      </c>
      <c r="AG51" s="23">
        <f t="shared" si="0"/>
        <v>1.0942504086921341</v>
      </c>
      <c r="AH51" s="23">
        <f t="shared" si="1"/>
        <v>0</v>
      </c>
      <c r="AI51" s="23">
        <f t="shared" si="1"/>
        <v>0.11541795673905124</v>
      </c>
      <c r="AJ51" s="23">
        <f t="shared" si="1"/>
        <v>0.98981185513434133</v>
      </c>
      <c r="AK51" s="23">
        <f t="shared" si="1"/>
        <v>0</v>
      </c>
      <c r="AL51" s="23">
        <f t="shared" si="1"/>
        <v>2.4081321312524522</v>
      </c>
      <c r="AM51" s="23">
        <f t="shared" si="1"/>
        <v>0</v>
      </c>
      <c r="AN51" s="23">
        <f t="shared" si="1"/>
        <v>0</v>
      </c>
    </row>
    <row r="52" spans="1:40" x14ac:dyDescent="0.25">
      <c r="A52" s="132" t="s">
        <v>112</v>
      </c>
      <c r="C52" s="23">
        <f t="shared" si="2"/>
        <v>1.5692118656891927</v>
      </c>
      <c r="D52" s="23">
        <f t="shared" si="0"/>
        <v>0.7393887987044041</v>
      </c>
      <c r="E52" s="23">
        <f t="shared" si="0"/>
        <v>1.9543758880415867</v>
      </c>
      <c r="F52" s="23">
        <f t="shared" si="0"/>
        <v>2.215571036032713</v>
      </c>
      <c r="G52" s="23">
        <f t="shared" si="0"/>
        <v>10.179404370548577</v>
      </c>
      <c r="H52" s="23">
        <f t="shared" si="0"/>
        <v>2.4599129517536262</v>
      </c>
      <c r="I52" s="23">
        <f t="shared" si="0"/>
        <v>8.3031507809004507E-2</v>
      </c>
      <c r="J52" s="23">
        <f t="shared" si="0"/>
        <v>0.57126438298351168</v>
      </c>
      <c r="K52" s="23">
        <f t="shared" si="0"/>
        <v>116.12129050244391</v>
      </c>
      <c r="L52" s="23">
        <f t="shared" si="0"/>
        <v>3.9819536979541971E-2</v>
      </c>
      <c r="M52" s="23">
        <f t="shared" si="0"/>
        <v>0.41032521158124802</v>
      </c>
      <c r="N52" s="23">
        <f t="shared" si="0"/>
        <v>5.2086017488460739</v>
      </c>
      <c r="O52" s="23">
        <f t="shared" si="0"/>
        <v>19.109378442266127</v>
      </c>
      <c r="P52" s="23">
        <f t="shared" si="0"/>
        <v>2.0589704374982669</v>
      </c>
      <c r="Q52" s="23">
        <f t="shared" si="0"/>
        <v>8.6289869887391948</v>
      </c>
      <c r="R52" s="23">
        <f t="shared" si="0"/>
        <v>1.9650547612451925</v>
      </c>
      <c r="S52" s="23">
        <f t="shared" si="0"/>
        <v>0.44107154486631311</v>
      </c>
      <c r="T52" s="23">
        <f t="shared" si="0"/>
        <v>2.2939382963242294</v>
      </c>
      <c r="U52" s="23">
        <f t="shared" si="0"/>
        <v>0.28078472961308398</v>
      </c>
      <c r="V52" s="23">
        <f t="shared" si="0"/>
        <v>1.9232117278467047</v>
      </c>
      <c r="W52" s="23">
        <f t="shared" si="0"/>
        <v>0.39991120418902742</v>
      </c>
      <c r="X52" s="23">
        <f t="shared" si="0"/>
        <v>1.1656004649947418</v>
      </c>
      <c r="Y52" s="23">
        <f t="shared" si="0"/>
        <v>0.15944857899714848</v>
      </c>
      <c r="Z52" s="23">
        <f t="shared" si="0"/>
        <v>0.97088895703800293</v>
      </c>
      <c r="AA52" s="23">
        <f t="shared" si="0"/>
        <v>0.14174691521591748</v>
      </c>
      <c r="AB52" s="23">
        <f t="shared" si="0"/>
        <v>0.12461112885610276</v>
      </c>
      <c r="AC52" s="23">
        <f t="shared" si="0"/>
        <v>8.1263828605268942E-3</v>
      </c>
      <c r="AD52" s="23">
        <f t="shared" si="0"/>
        <v>3.2413906194295475E-2</v>
      </c>
      <c r="AE52" s="23">
        <f t="shared" si="0"/>
        <v>0.55328843496443603</v>
      </c>
      <c r="AF52" s="23">
        <f t="shared" si="0"/>
        <v>1.5916662096362582</v>
      </c>
      <c r="AG52" s="23">
        <f t="shared" si="0"/>
        <v>0.88401324020407257</v>
      </c>
      <c r="AH52" s="23">
        <f t="shared" si="1"/>
        <v>0</v>
      </c>
      <c r="AI52" s="23">
        <f t="shared" si="1"/>
        <v>6.5622022072217553E-2</v>
      </c>
      <c r="AJ52" s="23">
        <f t="shared" si="1"/>
        <v>0.67785186702823408</v>
      </c>
      <c r="AK52" s="23">
        <f t="shared" si="1"/>
        <v>0</v>
      </c>
      <c r="AL52" s="23">
        <f t="shared" si="1"/>
        <v>2.646116915491076</v>
      </c>
      <c r="AM52" s="23">
        <f t="shared" si="1"/>
        <v>0</v>
      </c>
      <c r="AN52" s="23">
        <f t="shared" si="1"/>
        <v>0</v>
      </c>
    </row>
    <row r="53" spans="1:40" x14ac:dyDescent="0.25">
      <c r="A53" s="132" t="s">
        <v>113</v>
      </c>
      <c r="C53" s="23">
        <f t="shared" si="2"/>
        <v>1.4155177824155618</v>
      </c>
      <c r="D53" s="23">
        <f t="shared" si="0"/>
        <v>0.58961945776173785</v>
      </c>
      <c r="E53" s="23">
        <f t="shared" si="0"/>
        <v>1.7117180148677678</v>
      </c>
      <c r="F53" s="23">
        <f t="shared" si="0"/>
        <v>1.6727271256492813</v>
      </c>
      <c r="G53" s="23">
        <f t="shared" si="0"/>
        <v>10.44247705249351</v>
      </c>
      <c r="H53" s="23">
        <f t="shared" si="0"/>
        <v>2.2847959567171294</v>
      </c>
      <c r="I53" s="23">
        <f t="shared" si="0"/>
        <v>5.729958776420313E-2</v>
      </c>
      <c r="J53" s="23">
        <f t="shared" si="0"/>
        <v>0.52963598547553103</v>
      </c>
      <c r="K53" s="23">
        <f t="shared" si="0"/>
        <v>1367.5483379231682</v>
      </c>
      <c r="L53" s="23">
        <f t="shared" si="0"/>
        <v>3.9951743097865942E-2</v>
      </c>
      <c r="M53" s="23">
        <f t="shared" si="0"/>
        <v>0.35468498147681571</v>
      </c>
      <c r="N53" s="23">
        <f t="shared" si="0"/>
        <v>5.3953778562152719</v>
      </c>
      <c r="O53" s="23">
        <f t="shared" si="0"/>
        <v>19.544714896934519</v>
      </c>
      <c r="P53" s="23">
        <f t="shared" si="0"/>
        <v>2.0358351903430023</v>
      </c>
      <c r="Q53" s="23">
        <f t="shared" si="0"/>
        <v>8.3709042671941791</v>
      </c>
      <c r="R53" s="23">
        <f t="shared" si="0"/>
        <v>1.9717072592652125</v>
      </c>
      <c r="S53" s="23">
        <f t="shared" si="0"/>
        <v>0.40897092719003991</v>
      </c>
      <c r="T53" s="23">
        <f t="shared" si="0"/>
        <v>2.2817630579675785</v>
      </c>
      <c r="U53" s="23">
        <f t="shared" si="0"/>
        <v>0.29331279012704331</v>
      </c>
      <c r="V53" s="23">
        <f t="shared" si="0"/>
        <v>1.9770492124641446</v>
      </c>
      <c r="W53" s="23">
        <f t="shared" si="0"/>
        <v>0.40723331402579654</v>
      </c>
      <c r="X53" s="23">
        <f t="shared" si="0"/>
        <v>1.1844458502873432</v>
      </c>
      <c r="Y53" s="23">
        <f t="shared" si="0"/>
        <v>0.16445480987470551</v>
      </c>
      <c r="Z53" s="23">
        <f t="shared" si="0"/>
        <v>1.0054012948650528</v>
      </c>
      <c r="AA53" s="23">
        <f t="shared" si="0"/>
        <v>0.14545714041301558</v>
      </c>
      <c r="AB53" s="23">
        <f t="shared" si="0"/>
        <v>0.10522449688953785</v>
      </c>
      <c r="AC53" s="23">
        <f t="shared" si="0"/>
        <v>8.9783503603182175E-3</v>
      </c>
      <c r="AD53" s="23">
        <f t="shared" si="0"/>
        <v>4.7230749220177684E-2</v>
      </c>
      <c r="AE53" s="23">
        <f t="shared" si="0"/>
        <v>0.51556756999566877</v>
      </c>
      <c r="AF53" s="23">
        <f t="shared" si="0"/>
        <v>1.6814204697264323</v>
      </c>
      <c r="AG53" s="23">
        <f t="shared" si="0"/>
        <v>0.87443526410765915</v>
      </c>
      <c r="AH53" s="23">
        <f t="shared" si="1"/>
        <v>0</v>
      </c>
      <c r="AI53" s="23">
        <f t="shared" si="1"/>
        <v>0.10007888938920845</v>
      </c>
      <c r="AJ53" s="23">
        <f t="shared" si="1"/>
        <v>0.87432345031250347</v>
      </c>
      <c r="AK53" s="23">
        <f t="shared" si="1"/>
        <v>0</v>
      </c>
      <c r="AL53" s="23">
        <f t="shared" si="1"/>
        <v>8.0367963788346675</v>
      </c>
      <c r="AM53" s="23">
        <f t="shared" si="1"/>
        <v>0</v>
      </c>
      <c r="AN53" s="23">
        <f t="shared" si="1"/>
        <v>0</v>
      </c>
    </row>
    <row r="54" spans="1:40" x14ac:dyDescent="0.25">
      <c r="A54" s="132" t="s">
        <v>114</v>
      </c>
      <c r="C54" s="23">
        <f t="shared" si="2"/>
        <v>1.5661779089079384</v>
      </c>
      <c r="D54" s="23">
        <f t="shared" si="0"/>
        <v>0.81924542900505792</v>
      </c>
      <c r="E54" s="23">
        <f t="shared" si="0"/>
        <v>1.7480076391894521</v>
      </c>
      <c r="F54" s="23">
        <f t="shared" si="0"/>
        <v>2.1749303692773947</v>
      </c>
      <c r="G54" s="23">
        <f t="shared" si="0"/>
        <v>11.159045862618377</v>
      </c>
      <c r="H54" s="23">
        <f t="shared" si="0"/>
        <v>2.3630511591867225</v>
      </c>
      <c r="I54" s="23">
        <f t="shared" si="0"/>
        <v>6.8229574899333248E-2</v>
      </c>
      <c r="J54" s="23">
        <f t="shared" si="0"/>
        <v>0.61249468783765648</v>
      </c>
      <c r="K54" s="23">
        <f t="shared" si="0"/>
        <v>1000.2030336805839</v>
      </c>
      <c r="L54" s="23">
        <f t="shared" si="0"/>
        <v>4.3448644016641377E-2</v>
      </c>
      <c r="M54" s="23">
        <f t="shared" si="0"/>
        <v>0.42945774500163963</v>
      </c>
      <c r="N54" s="23">
        <f t="shared" si="0"/>
        <v>5.8511328938511502</v>
      </c>
      <c r="O54" s="23">
        <f t="shared" si="0"/>
        <v>20.397469333447415</v>
      </c>
      <c r="P54" s="23">
        <f t="shared" si="0"/>
        <v>2.1874112756657169</v>
      </c>
      <c r="Q54" s="23">
        <f t="shared" si="0"/>
        <v>9.0173186865292845</v>
      </c>
      <c r="R54" s="23">
        <f t="shared" si="0"/>
        <v>2.1497827543164969</v>
      </c>
      <c r="S54" s="23">
        <f t="shared" si="0"/>
        <v>0.42892588610209958</v>
      </c>
      <c r="T54" s="23">
        <f t="shared" si="0"/>
        <v>2.458606788710298</v>
      </c>
      <c r="U54" s="23">
        <f t="shared" si="0"/>
        <v>0.32079819891054795</v>
      </c>
      <c r="V54" s="23">
        <f t="shared" si="0"/>
        <v>2.1127765388990203</v>
      </c>
      <c r="W54" s="23">
        <f t="shared" si="0"/>
        <v>0.4387202503194661</v>
      </c>
      <c r="X54" s="23">
        <f t="shared" si="0"/>
        <v>1.2898237079532993</v>
      </c>
      <c r="Y54" s="23">
        <f t="shared" si="0"/>
        <v>0.17957498991956211</v>
      </c>
      <c r="Z54" s="23">
        <f t="shared" si="0"/>
        <v>1.0876327070747251</v>
      </c>
      <c r="AA54" s="23">
        <f t="shared" si="0"/>
        <v>0.15735952215203264</v>
      </c>
      <c r="AB54" s="23">
        <f t="shared" si="0"/>
        <v>0.11655556497164567</v>
      </c>
      <c r="AC54" s="23">
        <f t="shared" si="0"/>
        <v>1.4163508729579385E-2</v>
      </c>
      <c r="AD54" s="23">
        <f t="shared" si="0"/>
        <v>6.8555644908523394E-2</v>
      </c>
      <c r="AE54" s="23">
        <f t="shared" si="0"/>
        <v>0.29515001757063086</v>
      </c>
      <c r="AF54" s="23">
        <f t="shared" si="0"/>
        <v>1.7283354507327036</v>
      </c>
      <c r="AG54" s="23">
        <f t="shared" si="0"/>
        <v>0.88199290727762358</v>
      </c>
      <c r="AH54" s="23">
        <f t="shared" si="1"/>
        <v>0</v>
      </c>
      <c r="AI54" s="23">
        <f t="shared" si="1"/>
        <v>0.12062601542842832</v>
      </c>
      <c r="AJ54" s="23">
        <f t="shared" si="1"/>
        <v>1.0113643644687664</v>
      </c>
      <c r="AK54" s="23">
        <f t="shared" si="1"/>
        <v>0.1817599821486193</v>
      </c>
      <c r="AL54" s="23">
        <f t="shared" si="1"/>
        <v>6.344922489331104</v>
      </c>
      <c r="AM54" s="23">
        <f t="shared" si="1"/>
        <v>0</v>
      </c>
      <c r="AN54" s="23">
        <f t="shared" si="1"/>
        <v>0</v>
      </c>
    </row>
    <row r="55" spans="1:40" x14ac:dyDescent="0.25">
      <c r="A55" s="132" t="s">
        <v>115</v>
      </c>
      <c r="C55" s="23">
        <f t="shared" si="2"/>
        <v>1.6258369612844668</v>
      </c>
      <c r="D55" s="23">
        <f t="shared" si="0"/>
        <v>0.92756517349053902</v>
      </c>
      <c r="E55" s="23">
        <f t="shared" si="0"/>
        <v>1.8297133802998797</v>
      </c>
      <c r="F55" s="23">
        <f t="shared" si="0"/>
        <v>2.4619232465124825</v>
      </c>
      <c r="G55" s="23">
        <f t="shared" si="0"/>
        <v>11.575947786030907</v>
      </c>
      <c r="H55" s="23">
        <f t="shared" si="0"/>
        <v>2.8323564380364474</v>
      </c>
      <c r="I55" s="23">
        <f t="shared" si="0"/>
        <v>7.6002271177043418E-2</v>
      </c>
      <c r="J55" s="23">
        <f t="shared" si="0"/>
        <v>0.60789946529931493</v>
      </c>
      <c r="K55" s="23">
        <f t="shared" si="0"/>
        <v>1706.6505718708443</v>
      </c>
      <c r="L55" s="23">
        <f t="shared" si="0"/>
        <v>6.5013219360753258E-2</v>
      </c>
      <c r="M55" s="23">
        <f t="shared" si="0"/>
        <v>0.44771621222149527</v>
      </c>
      <c r="N55" s="23">
        <f t="shared" si="0"/>
        <v>5.9244948378463596</v>
      </c>
      <c r="O55" s="23">
        <f t="shared" si="0"/>
        <v>20.632583290830969</v>
      </c>
      <c r="P55" s="23">
        <f t="shared" si="0"/>
        <v>2.2090699570156236</v>
      </c>
      <c r="Q55" s="23">
        <f t="shared" si="0"/>
        <v>9.0973358617039715</v>
      </c>
      <c r="R55" s="23">
        <f t="shared" si="0"/>
        <v>2.1207437068622728</v>
      </c>
      <c r="S55" s="23">
        <f t="shared" si="0"/>
        <v>0.44656369484445185</v>
      </c>
      <c r="T55" s="23">
        <f t="shared" si="0"/>
        <v>2.4944948655378272</v>
      </c>
      <c r="U55" s="23">
        <f t="shared" si="0"/>
        <v>0.32407921782025401</v>
      </c>
      <c r="V55" s="23">
        <f t="shared" si="0"/>
        <v>2.162580856504901</v>
      </c>
      <c r="W55" s="23">
        <f t="shared" si="0"/>
        <v>0.45895563582245047</v>
      </c>
      <c r="X55" s="23">
        <f t="shared" si="0"/>
        <v>1.2923491275491399</v>
      </c>
      <c r="Y55" s="23">
        <f t="shared" si="0"/>
        <v>0.18249294448165634</v>
      </c>
      <c r="Z55" s="23">
        <f t="shared" ref="D55:AG63" si="3">Z32/1000</f>
        <v>1.1649011953027704</v>
      </c>
      <c r="AA55" s="23">
        <f t="shared" si="3"/>
        <v>0.16764416574375576</v>
      </c>
      <c r="AB55" s="23">
        <f t="shared" si="3"/>
        <v>0.13180507596293356</v>
      </c>
      <c r="AC55" s="23">
        <f t="shared" si="3"/>
        <v>1.1986488898687236E-2</v>
      </c>
      <c r="AD55" s="23">
        <f t="shared" si="3"/>
        <v>5.7308851423408781E-2</v>
      </c>
      <c r="AE55" s="23">
        <f t="shared" si="3"/>
        <v>0.51955723665243736</v>
      </c>
      <c r="AF55" s="23">
        <f t="shared" si="3"/>
        <v>1.7456749878284556</v>
      </c>
      <c r="AG55" s="23">
        <f t="shared" si="3"/>
        <v>0.97855301271470996</v>
      </c>
      <c r="AH55" s="23">
        <f t="shared" si="1"/>
        <v>0</v>
      </c>
      <c r="AI55" s="23">
        <f t="shared" si="1"/>
        <v>0.13464921928550611</v>
      </c>
      <c r="AJ55" s="23">
        <f t="shared" si="1"/>
        <v>1.1047078655710743</v>
      </c>
      <c r="AK55" s="23">
        <f t="shared" si="1"/>
        <v>2.064267132375135E-2</v>
      </c>
      <c r="AL55" s="23">
        <f t="shared" si="1"/>
        <v>9.4336721304204438</v>
      </c>
      <c r="AM55" s="23">
        <f t="shared" si="1"/>
        <v>0</v>
      </c>
      <c r="AN55" s="23">
        <f t="shared" si="1"/>
        <v>0</v>
      </c>
    </row>
    <row r="56" spans="1:40" x14ac:dyDescent="0.25">
      <c r="A56" s="132" t="s">
        <v>116</v>
      </c>
      <c r="C56" s="23">
        <f t="shared" si="2"/>
        <v>0.51079728286028625</v>
      </c>
      <c r="D56" s="23">
        <f t="shared" si="3"/>
        <v>1.7024252716520611</v>
      </c>
      <c r="E56" s="23">
        <f t="shared" si="3"/>
        <v>0.86345136684043422</v>
      </c>
      <c r="F56" s="23">
        <f t="shared" si="3"/>
        <v>1.1647968927367822</v>
      </c>
      <c r="G56" s="23">
        <f t="shared" si="3"/>
        <v>4.0126213510267963</v>
      </c>
      <c r="H56" s="23">
        <f t="shared" si="3"/>
        <v>0.86952329247008808</v>
      </c>
      <c r="I56" s="23">
        <f t="shared" si="3"/>
        <v>4.9637159553995294E-2</v>
      </c>
      <c r="J56" s="23">
        <f t="shared" si="3"/>
        <v>2.7300654026102961E-3</v>
      </c>
      <c r="K56" s="23">
        <f t="shared" si="3"/>
        <v>91.504420311134197</v>
      </c>
      <c r="L56" s="23">
        <f t="shared" si="3"/>
        <v>4.134255352930518E-2</v>
      </c>
      <c r="M56" s="23">
        <f t="shared" si="3"/>
        <v>0.26275635833141087</v>
      </c>
      <c r="N56" s="23">
        <f t="shared" si="3"/>
        <v>3.5863666275373625</v>
      </c>
      <c r="O56" s="23">
        <f t="shared" si="3"/>
        <v>5.1297583309740951</v>
      </c>
      <c r="P56" s="23">
        <f t="shared" si="3"/>
        <v>1.0370548551586554</v>
      </c>
      <c r="Q56" s="23">
        <f t="shared" si="3"/>
        <v>4.5012768860819596</v>
      </c>
      <c r="R56" s="23">
        <f t="shared" si="3"/>
        <v>0.9412896142312478</v>
      </c>
      <c r="S56" s="23">
        <f t="shared" si="3"/>
        <v>0.20092384874898739</v>
      </c>
      <c r="T56" s="23">
        <f t="shared" si="3"/>
        <v>0.98594673089467588</v>
      </c>
      <c r="U56" s="23">
        <f t="shared" si="3"/>
        <v>7.9849713711071954E-2</v>
      </c>
      <c r="V56" s="23">
        <f t="shared" si="3"/>
        <v>0.58448663819122082</v>
      </c>
      <c r="W56" s="23">
        <f t="shared" si="3"/>
        <v>0.11616168440545427</v>
      </c>
      <c r="X56" s="23">
        <f t="shared" si="3"/>
        <v>0.29058403196732047</v>
      </c>
      <c r="Y56" s="23">
        <f t="shared" si="3"/>
        <v>3.6831142622561638E-2</v>
      </c>
      <c r="Z56" s="23">
        <f t="shared" si="3"/>
        <v>0.19181264809601664</v>
      </c>
      <c r="AA56" s="23">
        <f t="shared" si="3"/>
        <v>2.6246954594372724E-2</v>
      </c>
      <c r="AB56" s="23">
        <f t="shared" si="3"/>
        <v>3.8227681802115172E-2</v>
      </c>
      <c r="AC56" s="23">
        <f t="shared" si="3"/>
        <v>5.2965701422967087E-3</v>
      </c>
      <c r="AD56" s="23">
        <f t="shared" si="3"/>
        <v>5.14664643516703E-2</v>
      </c>
      <c r="AE56" s="23">
        <f t="shared" si="3"/>
        <v>0.31610589964263064</v>
      </c>
      <c r="AF56" s="23">
        <f t="shared" si="3"/>
        <v>0.56365280703754972</v>
      </c>
      <c r="AG56" s="23">
        <f t="shared" si="3"/>
        <v>0.75374452994214236</v>
      </c>
      <c r="AH56" s="23">
        <f t="shared" si="1"/>
        <v>0</v>
      </c>
      <c r="AI56" s="23">
        <f t="shared" si="1"/>
        <v>0</v>
      </c>
      <c r="AJ56" s="23">
        <f t="shared" si="1"/>
        <v>0</v>
      </c>
      <c r="AK56" s="23">
        <f t="shared" si="1"/>
        <v>0</v>
      </c>
      <c r="AL56" s="23">
        <f t="shared" si="1"/>
        <v>9.6208086734177023</v>
      </c>
      <c r="AM56" s="23">
        <f t="shared" si="1"/>
        <v>0</v>
      </c>
      <c r="AN56" s="23">
        <f t="shared" si="1"/>
        <v>0</v>
      </c>
    </row>
    <row r="57" spans="1:40" x14ac:dyDescent="0.25">
      <c r="A57" s="132" t="s">
        <v>117</v>
      </c>
      <c r="C57" s="23">
        <f t="shared" si="2"/>
        <v>0.62406636125795378</v>
      </c>
      <c r="D57" s="23">
        <f t="shared" si="3"/>
        <v>2.3960987238513187</v>
      </c>
      <c r="E57" s="23">
        <f t="shared" si="3"/>
        <v>1.2776463025259994</v>
      </c>
      <c r="F57" s="23">
        <f t="shared" si="3"/>
        <v>2.0798703507419063</v>
      </c>
      <c r="G57" s="23">
        <f t="shared" si="3"/>
        <v>14.619155312194346</v>
      </c>
      <c r="H57" s="23">
        <f t="shared" si="3"/>
        <v>1.3510793315989411</v>
      </c>
      <c r="I57" s="23">
        <f t="shared" si="3"/>
        <v>7.8271510632944949E-2</v>
      </c>
      <c r="J57" s="23" t="e">
        <f t="shared" si="3"/>
        <v>#VALUE!</v>
      </c>
      <c r="K57" s="23">
        <f t="shared" si="3"/>
        <v>427.96791405435749</v>
      </c>
      <c r="L57" s="23">
        <f t="shared" si="3"/>
        <v>5.1975735367749895E-2</v>
      </c>
      <c r="M57" s="23">
        <f t="shared" si="3"/>
        <v>0.37461088071658483</v>
      </c>
      <c r="N57" s="23">
        <f t="shared" si="3"/>
        <v>12.623094625733914</v>
      </c>
      <c r="O57" s="23">
        <f t="shared" si="3"/>
        <v>14.270281430009092</v>
      </c>
      <c r="P57" s="23">
        <f t="shared" si="3"/>
        <v>3.5951814033415475</v>
      </c>
      <c r="Q57" s="23">
        <f t="shared" si="3"/>
        <v>16.259836153513195</v>
      </c>
      <c r="R57" s="23">
        <f t="shared" si="3"/>
        <v>3.4705106245758692</v>
      </c>
      <c r="S57" s="23">
        <f t="shared" si="3"/>
        <v>0.78563583958913674</v>
      </c>
      <c r="T57" s="23">
        <f t="shared" si="3"/>
        <v>3.9197825119357317</v>
      </c>
      <c r="U57" s="23">
        <f t="shared" si="3"/>
        <v>0.42698807064642186</v>
      </c>
      <c r="V57" s="23">
        <f t="shared" si="3"/>
        <v>2.3172554014211335</v>
      </c>
      <c r="W57" s="23">
        <f t="shared" si="3"/>
        <v>0.4424542541452558</v>
      </c>
      <c r="X57" s="23">
        <f t="shared" si="3"/>
        <v>1.0293035357639988</v>
      </c>
      <c r="Y57" s="23">
        <f t="shared" si="3"/>
        <v>0.10680888154997303</v>
      </c>
      <c r="Z57" s="23">
        <f t="shared" si="3"/>
        <v>0.49807299274993211</v>
      </c>
      <c r="AA57" s="23">
        <f t="shared" si="3"/>
        <v>6.441402483340139E-2</v>
      </c>
      <c r="AB57" s="23">
        <f t="shared" si="3"/>
        <v>6.0312718315666376E-2</v>
      </c>
      <c r="AC57" s="23">
        <f t="shared" si="3"/>
        <v>7.0564332339924166E-3</v>
      </c>
      <c r="AD57" s="23">
        <f t="shared" si="3"/>
        <v>0.10557184258980815</v>
      </c>
      <c r="AE57" s="23">
        <f t="shared" si="3"/>
        <v>0.24760890483809056</v>
      </c>
      <c r="AF57" s="23">
        <f t="shared" si="3"/>
        <v>0.8800624018595532</v>
      </c>
      <c r="AG57" s="23">
        <f t="shared" si="3"/>
        <v>1.8249245833979919</v>
      </c>
      <c r="AH57" s="23">
        <f t="shared" si="1"/>
        <v>0</v>
      </c>
      <c r="AI57" s="23">
        <f t="shared" si="1"/>
        <v>0</v>
      </c>
      <c r="AJ57" s="23">
        <f t="shared" si="1"/>
        <v>0</v>
      </c>
      <c r="AK57" s="23">
        <f t="shared" si="1"/>
        <v>0</v>
      </c>
      <c r="AL57" s="23">
        <f t="shared" si="1"/>
        <v>13.189000011345822</v>
      </c>
      <c r="AM57" s="23">
        <f t="shared" si="1"/>
        <v>0</v>
      </c>
      <c r="AN57" s="23">
        <f t="shared" si="1"/>
        <v>0</v>
      </c>
    </row>
    <row r="58" spans="1:40" x14ac:dyDescent="0.25">
      <c r="A58" s="132" t="s">
        <v>118</v>
      </c>
      <c r="C58" s="23">
        <f t="shared" si="2"/>
        <v>0.76355562132686305</v>
      </c>
      <c r="D58" s="23">
        <f t="shared" si="3"/>
        <v>1.2907357391060799</v>
      </c>
      <c r="E58" s="23">
        <f t="shared" si="3"/>
        <v>0.52709042385782046</v>
      </c>
      <c r="F58" s="23">
        <f t="shared" si="3"/>
        <v>1.092215667344832</v>
      </c>
      <c r="G58" s="23">
        <f t="shared" si="3"/>
        <v>3.8797830683401138</v>
      </c>
      <c r="H58" s="23">
        <f t="shared" si="3"/>
        <v>0.85131410962515031</v>
      </c>
      <c r="I58" s="23">
        <f t="shared" si="3"/>
        <v>3.8472615993242684E-2</v>
      </c>
      <c r="J58" s="23">
        <f t="shared" si="3"/>
        <v>1.730793264096174E-3</v>
      </c>
      <c r="K58" s="23">
        <f t="shared" si="3"/>
        <v>60.690647780527847</v>
      </c>
      <c r="L58" s="23">
        <f t="shared" si="3"/>
        <v>3.8315399624423485E-2</v>
      </c>
      <c r="M58" s="23">
        <f t="shared" si="3"/>
        <v>0.24733969075735179</v>
      </c>
      <c r="N58" s="23">
        <f t="shared" si="3"/>
        <v>3.378906798720303</v>
      </c>
      <c r="O58" s="23">
        <f t="shared" si="3"/>
        <v>4.4433068777571627</v>
      </c>
      <c r="P58" s="23">
        <f t="shared" si="3"/>
        <v>0.96146814653317325</v>
      </c>
      <c r="Q58" s="23">
        <f t="shared" si="3"/>
        <v>4.2845470547634923</v>
      </c>
      <c r="R58" s="23">
        <f t="shared" si="3"/>
        <v>0.87341848634242192</v>
      </c>
      <c r="S58" s="23">
        <f t="shared" si="3"/>
        <v>0.1845624508508043</v>
      </c>
      <c r="T58" s="23">
        <f t="shared" si="3"/>
        <v>0.96065774957112393</v>
      </c>
      <c r="U58" s="23">
        <f t="shared" si="3"/>
        <v>7.2511304997293372E-2</v>
      </c>
      <c r="V58" s="23">
        <f t="shared" si="3"/>
        <v>0.55514199159203925</v>
      </c>
      <c r="W58" s="23">
        <f t="shared" si="3"/>
        <v>0.111405516654994</v>
      </c>
      <c r="X58" s="23">
        <f t="shared" si="3"/>
        <v>0.26633204475688205</v>
      </c>
      <c r="Y58" s="23">
        <f t="shared" si="3"/>
        <v>2.8988917006477464E-2</v>
      </c>
      <c r="Z58" s="23">
        <f t="shared" si="3"/>
        <v>0.16285884737120693</v>
      </c>
      <c r="AA58" s="23">
        <f t="shared" si="3"/>
        <v>2.2234546559636418E-2</v>
      </c>
      <c r="AB58" s="23">
        <f t="shared" si="3"/>
        <v>3.9505304278782349E-2</v>
      </c>
      <c r="AC58" s="23">
        <f t="shared" si="3"/>
        <v>6.0178280746365376E-3</v>
      </c>
      <c r="AD58" s="23">
        <f t="shared" si="3"/>
        <v>3.4210902685877405E-2</v>
      </c>
      <c r="AE58" s="23">
        <f t="shared" si="3"/>
        <v>0.26995939033799982</v>
      </c>
      <c r="AF58" s="23">
        <f t="shared" si="3"/>
        <v>0.58627754561441114</v>
      </c>
      <c r="AG58" s="23">
        <f t="shared" si="3"/>
        <v>0.99271540888174092</v>
      </c>
      <c r="AH58" s="23">
        <f t="shared" si="1"/>
        <v>0</v>
      </c>
      <c r="AI58" s="23">
        <f t="shared" si="1"/>
        <v>7.656006754159024E-2</v>
      </c>
      <c r="AJ58" s="23">
        <f t="shared" si="1"/>
        <v>0.40743742136514527</v>
      </c>
      <c r="AK58" s="23">
        <f t="shared" si="1"/>
        <v>8.7268364895581541E-2</v>
      </c>
      <c r="AL58" s="23">
        <f t="shared" si="1"/>
        <v>52.152648132119189</v>
      </c>
      <c r="AM58" s="23">
        <f t="shared" si="1"/>
        <v>1.4903665143395235</v>
      </c>
      <c r="AN58" s="23">
        <f t="shared" si="1"/>
        <v>0</v>
      </c>
    </row>
    <row r="59" spans="1:40" x14ac:dyDescent="0.25">
      <c r="A59" s="132" t="s">
        <v>119</v>
      </c>
      <c r="C59" s="23">
        <f t="shared" si="2"/>
        <v>0.84139835470695257</v>
      </c>
      <c r="D59" s="23">
        <f t="shared" si="3"/>
        <v>4.4667337327116208</v>
      </c>
      <c r="E59" s="23">
        <f t="shared" si="3"/>
        <v>2.5366059620635641</v>
      </c>
      <c r="F59" s="23">
        <f t="shared" si="3"/>
        <v>1.2582878261852033</v>
      </c>
      <c r="G59" s="23">
        <f t="shared" si="3"/>
        <v>5.8472790099671599</v>
      </c>
      <c r="H59" s="23">
        <f t="shared" si="3"/>
        <v>1.1186214558267782</v>
      </c>
      <c r="I59" s="23">
        <f t="shared" si="3"/>
        <v>0.1339457217776277</v>
      </c>
      <c r="J59" s="23">
        <f t="shared" si="3"/>
        <v>9.6108269817725828E-3</v>
      </c>
      <c r="K59" s="23">
        <f t="shared" si="3"/>
        <v>668.61931738510611</v>
      </c>
      <c r="L59" s="23">
        <f t="shared" si="3"/>
        <v>2.4554805367699453E-2</v>
      </c>
      <c r="M59" s="23">
        <f t="shared" si="3"/>
        <v>0.33378566692455813</v>
      </c>
      <c r="N59" s="23">
        <f t="shared" si="3"/>
        <v>5.0360513755137353</v>
      </c>
      <c r="O59" s="23">
        <f t="shared" si="3"/>
        <v>7.4226751206024755</v>
      </c>
      <c r="P59" s="23">
        <f t="shared" si="3"/>
        <v>1.4959435083815167</v>
      </c>
      <c r="Q59" s="23">
        <f t="shared" si="3"/>
        <v>6.4619401821888198</v>
      </c>
      <c r="R59" s="23">
        <f t="shared" si="3"/>
        <v>1.3190769610827791</v>
      </c>
      <c r="S59" s="23">
        <f t="shared" si="3"/>
        <v>0.27429768178286013</v>
      </c>
      <c r="T59" s="23">
        <f t="shared" si="3"/>
        <v>1.4399824900542177</v>
      </c>
      <c r="U59" s="23">
        <f t="shared" si="3"/>
        <v>0.13043336773377479</v>
      </c>
      <c r="V59" s="23">
        <f t="shared" si="3"/>
        <v>0.85886920118986276</v>
      </c>
      <c r="W59" s="23">
        <f t="shared" si="3"/>
        <v>0.16015720750392509</v>
      </c>
      <c r="X59" s="23">
        <f t="shared" si="3"/>
        <v>0.42104085958271587</v>
      </c>
      <c r="Y59" s="23">
        <f t="shared" si="3"/>
        <v>5.016143885855049E-2</v>
      </c>
      <c r="Z59" s="23">
        <f t="shared" si="3"/>
        <v>0.26676142290928168</v>
      </c>
      <c r="AA59" s="23">
        <f t="shared" si="3"/>
        <v>3.7082976622894913E-2</v>
      </c>
      <c r="AB59" s="23">
        <f t="shared" si="3"/>
        <v>4.2387706997859147E-2</v>
      </c>
      <c r="AC59" s="23">
        <f t="shared" si="3"/>
        <v>5.3794469057396122E-3</v>
      </c>
      <c r="AD59" s="23">
        <f t="shared" si="3"/>
        <v>0.21926133072519036</v>
      </c>
      <c r="AE59" s="23">
        <f t="shared" si="3"/>
        <v>0.26197248011425267</v>
      </c>
      <c r="AF59" s="23">
        <f t="shared" si="3"/>
        <v>0.78474048607304747</v>
      </c>
      <c r="AG59" s="23">
        <f t="shared" si="3"/>
        <v>1.0086760798442396</v>
      </c>
      <c r="AH59" s="23">
        <f t="shared" si="1"/>
        <v>0</v>
      </c>
      <c r="AI59" s="23">
        <f t="shared" si="1"/>
        <v>0</v>
      </c>
      <c r="AJ59" s="23">
        <f t="shared" si="1"/>
        <v>0.10077921305845622</v>
      </c>
      <c r="AK59" s="23">
        <f t="shared" si="1"/>
        <v>0</v>
      </c>
      <c r="AL59" s="23">
        <f t="shared" si="1"/>
        <v>32.257994431931884</v>
      </c>
      <c r="AM59" s="23">
        <f t="shared" si="1"/>
        <v>0</v>
      </c>
      <c r="AN59" s="23">
        <f t="shared" si="1"/>
        <v>0</v>
      </c>
    </row>
    <row r="60" spans="1:40" x14ac:dyDescent="0.25">
      <c r="A60" s="132" t="s">
        <v>120</v>
      </c>
      <c r="C60" s="23">
        <f t="shared" si="2"/>
        <v>0.68902064223257542</v>
      </c>
      <c r="D60" s="23">
        <f t="shared" si="3"/>
        <v>5.7610940615850685</v>
      </c>
      <c r="E60" s="23">
        <f t="shared" si="3"/>
        <v>2.0309524407119093</v>
      </c>
      <c r="F60" s="23">
        <f t="shared" si="3"/>
        <v>1.7892449422224317</v>
      </c>
      <c r="G60" s="23">
        <f t="shared" si="3"/>
        <v>4.7030307059158583</v>
      </c>
      <c r="H60" s="23">
        <f t="shared" si="3"/>
        <v>1.1500445077390387</v>
      </c>
      <c r="I60" s="23">
        <f t="shared" si="3"/>
        <v>0.10615492101684024</v>
      </c>
      <c r="J60" s="23">
        <f t="shared" si="3"/>
        <v>3.5747312090236093E-2</v>
      </c>
      <c r="K60" s="23">
        <f t="shared" si="3"/>
        <v>554.61245991783767</v>
      </c>
      <c r="L60" s="23">
        <f t="shared" si="3"/>
        <v>3.8377527122578303E-2</v>
      </c>
      <c r="M60" s="23">
        <f t="shared" si="3"/>
        <v>0.34544765186382009</v>
      </c>
      <c r="N60" s="23">
        <f t="shared" si="3"/>
        <v>4.3040569965672155</v>
      </c>
      <c r="O60" s="23">
        <f t="shared" si="3"/>
        <v>6.6765826045435581</v>
      </c>
      <c r="P60" s="23">
        <f t="shared" si="3"/>
        <v>1.2589919678253443</v>
      </c>
      <c r="Q60" s="23">
        <f t="shared" si="3"/>
        <v>5.4247157526591172</v>
      </c>
      <c r="R60" s="23">
        <f t="shared" si="3"/>
        <v>1.0770748905516958</v>
      </c>
      <c r="S60" s="23">
        <f t="shared" si="3"/>
        <v>0.23071490832567729</v>
      </c>
      <c r="T60" s="23">
        <f t="shared" si="3"/>
        <v>1.2142748902627771</v>
      </c>
      <c r="U60" s="23">
        <f t="shared" si="3"/>
        <v>0.10109280094779573</v>
      </c>
      <c r="V60" s="23">
        <f t="shared" si="3"/>
        <v>0.67005497759145827</v>
      </c>
      <c r="W60" s="23">
        <f t="shared" si="3"/>
        <v>0.12944960769115998</v>
      </c>
      <c r="X60" s="23">
        <f t="shared" si="3"/>
        <v>0.33814352368199579</v>
      </c>
      <c r="Y60" s="23">
        <f t="shared" si="3"/>
        <v>3.8425106812822164E-2</v>
      </c>
      <c r="Z60" s="23">
        <f t="shared" si="3"/>
        <v>0.20919916631548877</v>
      </c>
      <c r="AA60" s="23">
        <f t="shared" si="3"/>
        <v>3.0944484713350193E-2</v>
      </c>
      <c r="AB60" s="23">
        <f t="shared" si="3"/>
        <v>3.9935181899601935E-2</v>
      </c>
      <c r="AC60" s="23">
        <f t="shared" si="3"/>
        <v>5.0145815904030023E-3</v>
      </c>
      <c r="AD60" s="23">
        <f t="shared" si="3"/>
        <v>0.15214319514107719</v>
      </c>
      <c r="AE60" s="23">
        <f t="shared" si="3"/>
        <v>0.24640358952376723</v>
      </c>
      <c r="AF60" s="23">
        <f t="shared" si="3"/>
        <v>0.66626496441454408</v>
      </c>
      <c r="AG60" s="23">
        <f t="shared" si="3"/>
        <v>0.95390866125501506</v>
      </c>
      <c r="AH60" s="23">
        <f t="shared" si="1"/>
        <v>0</v>
      </c>
      <c r="AI60" s="23">
        <f t="shared" si="1"/>
        <v>0</v>
      </c>
      <c r="AJ60" s="23">
        <f t="shared" si="1"/>
        <v>8.0867112340923114E-2</v>
      </c>
      <c r="AK60" s="23">
        <f t="shared" si="1"/>
        <v>0</v>
      </c>
      <c r="AL60" s="23">
        <f t="shared" si="1"/>
        <v>32.106654560967485</v>
      </c>
      <c r="AM60" s="23">
        <f t="shared" si="1"/>
        <v>0</v>
      </c>
      <c r="AN60" s="23">
        <f t="shared" si="1"/>
        <v>0</v>
      </c>
    </row>
    <row r="61" spans="1:40" x14ac:dyDescent="0.25">
      <c r="A61" s="132" t="s">
        <v>121</v>
      </c>
      <c r="C61" s="23">
        <f t="shared" si="2"/>
        <v>0.70831962770866463</v>
      </c>
      <c r="D61" s="23">
        <f t="shared" si="3"/>
        <v>3.7622873765948253</v>
      </c>
      <c r="E61" s="23">
        <f t="shared" si="3"/>
        <v>1.9987567144036438</v>
      </c>
      <c r="F61" s="23">
        <f t="shared" si="3"/>
        <v>1.4753816546857559</v>
      </c>
      <c r="G61" s="23">
        <f t="shared" si="3"/>
        <v>4.88058458213977</v>
      </c>
      <c r="H61" s="23">
        <f t="shared" si="3"/>
        <v>1.1349987021741341</v>
      </c>
      <c r="I61" s="23">
        <f t="shared" si="3"/>
        <v>0.10244772758302204</v>
      </c>
      <c r="J61" s="23" t="e">
        <f t="shared" si="3"/>
        <v>#VALUE!</v>
      </c>
      <c r="K61" s="23">
        <f t="shared" si="3"/>
        <v>1204.5420257849848</v>
      </c>
      <c r="L61" s="23">
        <f t="shared" si="3"/>
        <v>2.7825151643414012E-2</v>
      </c>
      <c r="M61" s="23">
        <f t="shared" si="3"/>
        <v>0.32757803212036235</v>
      </c>
      <c r="N61" s="23">
        <f t="shared" si="3"/>
        <v>4.4990883938488686</v>
      </c>
      <c r="O61" s="23">
        <f t="shared" si="3"/>
        <v>7.1083652488481279</v>
      </c>
      <c r="P61" s="23">
        <f t="shared" si="3"/>
        <v>1.3192649190005605</v>
      </c>
      <c r="Q61" s="23">
        <f t="shared" si="3"/>
        <v>5.7387184486828131</v>
      </c>
      <c r="R61" s="23">
        <f t="shared" si="3"/>
        <v>1.1389513857136437</v>
      </c>
      <c r="S61" s="23">
        <f t="shared" si="3"/>
        <v>0.24411811713484785</v>
      </c>
      <c r="T61" s="23">
        <f t="shared" si="3"/>
        <v>1.2239777995498897</v>
      </c>
      <c r="U61" s="23">
        <f t="shared" si="3"/>
        <v>0.10887631259218519</v>
      </c>
      <c r="V61" s="23">
        <f t="shared" si="3"/>
        <v>0.72096889009776877</v>
      </c>
      <c r="W61" s="23">
        <f t="shared" si="3"/>
        <v>0.14275753374857958</v>
      </c>
      <c r="X61" s="23">
        <f t="shared" si="3"/>
        <v>0.36208773393677179</v>
      </c>
      <c r="Y61" s="23">
        <f t="shared" si="3"/>
        <v>4.3060564073974475E-2</v>
      </c>
      <c r="Z61" s="23">
        <f t="shared" si="3"/>
        <v>0.24718900937031132</v>
      </c>
      <c r="AA61" s="23">
        <f t="shared" si="3"/>
        <v>3.4625988206367468E-2</v>
      </c>
      <c r="AB61" s="23">
        <f t="shared" si="3"/>
        <v>3.7270750280284988E-2</v>
      </c>
      <c r="AC61" s="23">
        <f t="shared" si="3"/>
        <v>4.5478649771837831E-3</v>
      </c>
      <c r="AD61" s="23">
        <f t="shared" si="3"/>
        <v>0.17439159912536537</v>
      </c>
      <c r="AE61" s="23">
        <f t="shared" si="3"/>
        <v>0.31659280295360265</v>
      </c>
      <c r="AF61" s="23">
        <f t="shared" si="3"/>
        <v>0.76199037931641544</v>
      </c>
      <c r="AG61" s="23">
        <f t="shared" si="3"/>
        <v>0.93985491838053448</v>
      </c>
      <c r="AH61" s="23">
        <f t="shared" si="1"/>
        <v>0</v>
      </c>
      <c r="AI61" s="23">
        <f t="shared" si="1"/>
        <v>0</v>
      </c>
      <c r="AJ61" s="23">
        <f t="shared" si="1"/>
        <v>6.1816983213313116E-2</v>
      </c>
      <c r="AK61" s="23">
        <f t="shared" si="1"/>
        <v>0</v>
      </c>
      <c r="AL61" s="23">
        <f t="shared" si="1"/>
        <v>25.796373252188193</v>
      </c>
      <c r="AM61" s="23">
        <f t="shared" si="1"/>
        <v>0</v>
      </c>
      <c r="AN61" s="23">
        <f t="shared" si="1"/>
        <v>0</v>
      </c>
    </row>
    <row r="62" spans="1:40" x14ac:dyDescent="0.25">
      <c r="A62" s="132" t="s">
        <v>122</v>
      </c>
      <c r="C62" s="23">
        <f t="shared" si="2"/>
        <v>0.90073915925523618</v>
      </c>
      <c r="D62" s="23">
        <f t="shared" si="3"/>
        <v>3.8219751524813765</v>
      </c>
      <c r="E62" s="23">
        <f t="shared" si="3"/>
        <v>2.0941965423808759</v>
      </c>
      <c r="F62" s="23">
        <f t="shared" si="3"/>
        <v>1.7531235307923487</v>
      </c>
      <c r="G62" s="23">
        <f t="shared" si="3"/>
        <v>5.8630585959400676</v>
      </c>
      <c r="H62" s="23">
        <f t="shared" si="3"/>
        <v>1.2909246434599817</v>
      </c>
      <c r="I62" s="23">
        <f t="shared" si="3"/>
        <v>0.12787639401576614</v>
      </c>
      <c r="J62" s="23">
        <f t="shared" si="3"/>
        <v>2.5217842741601824E-3</v>
      </c>
      <c r="K62" s="23">
        <f t="shared" si="3"/>
        <v>4636.8986271460089</v>
      </c>
      <c r="L62" s="23">
        <f t="shared" si="3"/>
        <v>4.5705666530147133E-2</v>
      </c>
      <c r="M62" s="23">
        <f t="shared" si="3"/>
        <v>0.37987330934908181</v>
      </c>
      <c r="N62" s="23">
        <f t="shared" si="3"/>
        <v>5.318135279056281</v>
      </c>
      <c r="O62" s="23">
        <f t="shared" si="3"/>
        <v>8.4729888163291758</v>
      </c>
      <c r="P62" s="23">
        <f t="shared" si="3"/>
        <v>1.5524730481117122</v>
      </c>
      <c r="Q62" s="23">
        <f t="shared" si="3"/>
        <v>6.6378556604056715</v>
      </c>
      <c r="R62" s="23">
        <f t="shared" si="3"/>
        <v>1.3521879519203839</v>
      </c>
      <c r="S62" s="23">
        <f t="shared" si="3"/>
        <v>0.3044383762119694</v>
      </c>
      <c r="T62" s="23">
        <f t="shared" si="3"/>
        <v>1.4224501224825168</v>
      </c>
      <c r="U62" s="23">
        <f t="shared" si="3"/>
        <v>0.13483138521227145</v>
      </c>
      <c r="V62" s="23">
        <f t="shared" si="3"/>
        <v>0.86630597403699838</v>
      </c>
      <c r="W62" s="23">
        <f t="shared" si="3"/>
        <v>0.1712863267703861</v>
      </c>
      <c r="X62" s="23">
        <f t="shared" si="3"/>
        <v>0.44779794974776455</v>
      </c>
      <c r="Y62" s="23">
        <f t="shared" si="3"/>
        <v>5.1293776197930276E-2</v>
      </c>
      <c r="Z62" s="23">
        <f t="shared" si="3"/>
        <v>0.2934016599835147</v>
      </c>
      <c r="AA62" s="23">
        <f t="shared" si="3"/>
        <v>4.0240778332065914E-2</v>
      </c>
      <c r="AB62" s="23">
        <f t="shared" si="3"/>
        <v>4.8325665806954889E-2</v>
      </c>
      <c r="AC62" s="23">
        <f t="shared" si="3"/>
        <v>5.2713192094969094E-3</v>
      </c>
      <c r="AD62" s="23">
        <f t="shared" si="3"/>
        <v>0.24487335172808161</v>
      </c>
      <c r="AE62" s="23">
        <f t="shared" si="3"/>
        <v>0.16611533777667631</v>
      </c>
      <c r="AF62" s="23">
        <f t="shared" si="3"/>
        <v>0.81457953867949273</v>
      </c>
      <c r="AG62" s="23">
        <f t="shared" si="3"/>
        <v>1.0617210842455491</v>
      </c>
      <c r="AH62" s="23">
        <f t="shared" si="1"/>
        <v>0</v>
      </c>
      <c r="AI62" s="23">
        <f t="shared" si="1"/>
        <v>0</v>
      </c>
      <c r="AJ62" s="23">
        <f t="shared" si="1"/>
        <v>9.5289211965246548E-2</v>
      </c>
      <c r="AK62" s="23">
        <f t="shared" si="1"/>
        <v>0</v>
      </c>
      <c r="AL62" s="23">
        <f t="shared" si="1"/>
        <v>25.840692991913784</v>
      </c>
      <c r="AM62" s="23">
        <f t="shared" si="1"/>
        <v>0</v>
      </c>
      <c r="AN62" s="23">
        <f t="shared" si="1"/>
        <v>0</v>
      </c>
    </row>
    <row r="63" spans="1:40" x14ac:dyDescent="0.25">
      <c r="A63" s="132" t="s">
        <v>123</v>
      </c>
      <c r="C63" s="23">
        <f t="shared" si="2"/>
        <v>0.72731880564717777</v>
      </c>
      <c r="D63" s="23">
        <f t="shared" si="3"/>
        <v>3.104011445230392</v>
      </c>
      <c r="E63" s="23">
        <f t="shared" si="3"/>
        <v>1.3902988322697578</v>
      </c>
      <c r="F63" s="23">
        <f t="shared" si="3"/>
        <v>1.3540569696396159</v>
      </c>
      <c r="G63" s="23">
        <f t="shared" si="3"/>
        <v>5.2979907163913866</v>
      </c>
      <c r="H63" s="23">
        <f t="shared" si="3"/>
        <v>1.1406593601805921</v>
      </c>
      <c r="I63" s="23">
        <f t="shared" si="3"/>
        <v>0.10395546840691276</v>
      </c>
      <c r="J63" s="23">
        <f t="shared" si="3"/>
        <v>7.7316954635800211E-2</v>
      </c>
      <c r="K63" s="23">
        <f t="shared" si="3"/>
        <v>650.81844820231788</v>
      </c>
      <c r="L63" s="23">
        <f t="shared" si="3"/>
        <v>6.7377540347254988E-2</v>
      </c>
      <c r="M63" s="23">
        <f t="shared" si="3"/>
        <v>0.3409176706486704</v>
      </c>
      <c r="N63" s="23">
        <f t="shared" si="3"/>
        <v>4.7186307440430868</v>
      </c>
      <c r="O63" s="23">
        <f t="shared" si="3"/>
        <v>7.3768572016260894</v>
      </c>
      <c r="P63" s="23">
        <f t="shared" si="3"/>
        <v>1.3928274898553821</v>
      </c>
      <c r="Q63" s="23">
        <f t="shared" si="3"/>
        <v>6.0106974551429877</v>
      </c>
      <c r="R63" s="23">
        <f t="shared" si="3"/>
        <v>1.1992510908067027</v>
      </c>
      <c r="S63" s="23">
        <f t="shared" si="3"/>
        <v>0.26116419557205983</v>
      </c>
      <c r="T63" s="23">
        <f t="shared" si="3"/>
        <v>1.2763711420763604</v>
      </c>
      <c r="U63" s="23">
        <f t="shared" si="3"/>
        <v>0.11546342856687075</v>
      </c>
      <c r="V63" s="23">
        <f t="shared" si="3"/>
        <v>0.75465081113155152</v>
      </c>
      <c r="W63" s="23">
        <f t="shared" si="3"/>
        <v>0.15070089473288514</v>
      </c>
      <c r="X63" s="23">
        <f t="shared" si="3"/>
        <v>0.39056457165163666</v>
      </c>
      <c r="Y63" s="23">
        <f t="shared" si="3"/>
        <v>4.5029007157806417E-2</v>
      </c>
      <c r="Z63" s="23">
        <f t="shared" si="3"/>
        <v>0.25423028553505</v>
      </c>
      <c r="AA63" s="23">
        <f t="shared" si="3"/>
        <v>3.9263859800724388E-2</v>
      </c>
      <c r="AB63" s="23">
        <f t="shared" si="3"/>
        <v>4.8494915981911663E-2</v>
      </c>
      <c r="AC63" s="23">
        <f t="shared" si="3"/>
        <v>1.0991304435768807E-2</v>
      </c>
      <c r="AD63" s="23">
        <f t="shared" si="3"/>
        <v>0.14519313274214488</v>
      </c>
      <c r="AE63" s="23">
        <f t="shared" si="3"/>
        <v>0.112317277170007</v>
      </c>
      <c r="AF63" s="23">
        <f t="shared" si="3"/>
        <v>0.75812442649635248</v>
      </c>
      <c r="AG63" s="23">
        <f t="shared" ref="D63:AG64" si="4">AG40/1000</f>
        <v>0.97031841808281105</v>
      </c>
      <c r="AH63" s="23">
        <f t="shared" ref="AH63:AN63" si="5">AH40/1000</f>
        <v>0</v>
      </c>
      <c r="AI63" s="23">
        <f t="shared" si="5"/>
        <v>0</v>
      </c>
      <c r="AJ63" s="23">
        <f t="shared" si="5"/>
        <v>0.15202876287061629</v>
      </c>
      <c r="AK63" s="23">
        <f t="shared" si="5"/>
        <v>0</v>
      </c>
      <c r="AL63" s="23">
        <f t="shared" si="5"/>
        <v>19.967196601596736</v>
      </c>
      <c r="AM63" s="23">
        <f t="shared" si="5"/>
        <v>6.85700690220057E-2</v>
      </c>
      <c r="AN63" s="23">
        <f t="shared" si="5"/>
        <v>0</v>
      </c>
    </row>
    <row r="64" spans="1:40" x14ac:dyDescent="0.25">
      <c r="A64" s="132" t="s">
        <v>124</v>
      </c>
      <c r="C64" s="23">
        <f t="shared" si="2"/>
        <v>0.68660646285229043</v>
      </c>
      <c r="D64" s="23">
        <f t="shared" si="4"/>
        <v>2.6157766486512974</v>
      </c>
      <c r="E64" s="23">
        <f t="shared" si="4"/>
        <v>1.0004297871776446</v>
      </c>
      <c r="F64" s="23">
        <f t="shared" si="4"/>
        <v>1.1198901017597205</v>
      </c>
      <c r="G64" s="23">
        <f t="shared" si="4"/>
        <v>5.1829497002846807</v>
      </c>
      <c r="H64" s="23">
        <f t="shared" si="4"/>
        <v>0.977334649742442</v>
      </c>
      <c r="I64" s="23">
        <f t="shared" si="4"/>
        <v>7.1027296882512775E-2</v>
      </c>
      <c r="J64" s="23">
        <f t="shared" si="4"/>
        <v>3.5073126132781435E-2</v>
      </c>
      <c r="K64" s="23">
        <f t="shared" si="4"/>
        <v>2282.9336973943114</v>
      </c>
      <c r="L64" s="23">
        <f t="shared" si="4"/>
        <v>5.9631745259786727E-2</v>
      </c>
      <c r="M64" s="23">
        <f t="shared" si="4"/>
        <v>0.29430437078138322</v>
      </c>
      <c r="N64" s="23">
        <f t="shared" si="4"/>
        <v>4.4064077845201197</v>
      </c>
      <c r="O64" s="23">
        <f t="shared" si="4"/>
        <v>6.8183117021990221</v>
      </c>
      <c r="P64" s="23">
        <f t="shared" si="4"/>
        <v>1.3484619297542215</v>
      </c>
      <c r="Q64" s="23">
        <f t="shared" si="4"/>
        <v>5.8634960469165369</v>
      </c>
      <c r="R64" s="23">
        <f t="shared" si="4"/>
        <v>1.1852095840674852</v>
      </c>
      <c r="S64" s="23">
        <f t="shared" si="4"/>
        <v>0.24540250005158382</v>
      </c>
      <c r="T64" s="23">
        <f t="shared" si="4"/>
        <v>1.3230433922900999</v>
      </c>
      <c r="U64" s="23">
        <f t="shared" si="4"/>
        <v>0.1153767185774611</v>
      </c>
      <c r="V64" s="23">
        <f t="shared" si="4"/>
        <v>0.76858527604561877</v>
      </c>
      <c r="W64" s="23">
        <f t="shared" si="4"/>
        <v>0.14315086217877745</v>
      </c>
      <c r="X64" s="23">
        <f t="shared" si="4"/>
        <v>0.38490872621415873</v>
      </c>
      <c r="Y64" s="23">
        <f t="shared" si="4"/>
        <v>4.1826932973954491E-2</v>
      </c>
      <c r="Z64" s="23">
        <f t="shared" si="4"/>
        <v>0.2583864487675509</v>
      </c>
      <c r="AA64" s="23">
        <f t="shared" si="4"/>
        <v>3.2591245177814664E-2</v>
      </c>
      <c r="AB64" s="23">
        <f t="shared" si="4"/>
        <v>4.5073645988275644E-2</v>
      </c>
      <c r="AC64" s="23">
        <f t="shared" si="4"/>
        <v>7.9989362503088204E-3</v>
      </c>
      <c r="AD64" s="23">
        <f t="shared" si="4"/>
        <v>0.10082124152742415</v>
      </c>
      <c r="AE64" s="23">
        <f t="shared" si="4"/>
        <v>0.13377814867896906</v>
      </c>
      <c r="AF64" s="23">
        <f t="shared" si="4"/>
        <v>0.72436465930603378</v>
      </c>
      <c r="AG64" s="23">
        <f t="shared" si="4"/>
        <v>1.0542333029136628</v>
      </c>
      <c r="AH64" s="23">
        <f t="shared" ref="AH64:AN64" si="6">AH41/1000</f>
        <v>0</v>
      </c>
      <c r="AI64" s="23">
        <f t="shared" si="6"/>
        <v>0</v>
      </c>
      <c r="AJ64" s="23">
        <f t="shared" si="6"/>
        <v>1.1894673496166267E-2</v>
      </c>
      <c r="AK64" s="23">
        <f t="shared" si="6"/>
        <v>0</v>
      </c>
      <c r="AL64" s="23">
        <f t="shared" si="6"/>
        <v>17.475559772217466</v>
      </c>
      <c r="AM64" s="23">
        <f t="shared" si="6"/>
        <v>0</v>
      </c>
      <c r="AN64" s="23">
        <f t="shared" si="6"/>
        <v>0</v>
      </c>
    </row>
  </sheetData>
  <mergeCells count="3">
    <mergeCell ref="A20:A21"/>
    <mergeCell ref="B20:B21"/>
    <mergeCell ref="A44:A4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08706-8A03-4B39-95E5-B6C5D5AAE00D}">
  <dimension ref="A1:AN39"/>
  <sheetViews>
    <sheetView topLeftCell="A23" workbookViewId="0">
      <selection activeCell="A34" sqref="A34:A39"/>
    </sheetView>
  </sheetViews>
  <sheetFormatPr defaultRowHeight="15" x14ac:dyDescent="0.25"/>
  <cols>
    <col min="1" max="1" width="27.85546875" customWidth="1"/>
    <col min="2" max="2" width="26.85546875" customWidth="1"/>
    <col min="3" max="3" width="17.7109375" style="23" bestFit="1" customWidth="1"/>
    <col min="4" max="4" width="15" style="23" bestFit="1" customWidth="1"/>
    <col min="5" max="6" width="14.85546875" style="23" bestFit="1" customWidth="1"/>
    <col min="7" max="7" width="13.7109375" style="23" bestFit="1" customWidth="1"/>
    <col min="8" max="8" width="14.42578125" style="23" bestFit="1" customWidth="1"/>
    <col min="9" max="9" width="15" style="23" bestFit="1" customWidth="1"/>
    <col min="10" max="10" width="15.42578125" style="23" bestFit="1" customWidth="1"/>
    <col min="11" max="11" width="15.7109375" style="23" bestFit="1" customWidth="1"/>
    <col min="12" max="12" width="15.5703125" style="23" bestFit="1" customWidth="1"/>
    <col min="13" max="13" width="15.7109375" style="23" bestFit="1" customWidth="1"/>
    <col min="14" max="14" width="15.5703125" style="23" bestFit="1" customWidth="1"/>
    <col min="15" max="15" width="15.7109375" style="23" bestFit="1" customWidth="1"/>
    <col min="16" max="16" width="15.5703125" style="23" bestFit="1" customWidth="1"/>
    <col min="17" max="17" width="16" style="23" bestFit="1" customWidth="1"/>
    <col min="18" max="18" width="16.140625" style="23" bestFit="1" customWidth="1"/>
    <col min="19" max="19" width="15.7109375" style="23" bestFit="1" customWidth="1"/>
    <col min="20" max="20" width="16" style="23" bestFit="1" customWidth="1"/>
    <col min="21" max="21" width="15.7109375" style="23" bestFit="1" customWidth="1"/>
    <col min="22" max="22" width="15.85546875" style="23" bestFit="1" customWidth="1"/>
    <col min="23" max="23" width="16" style="23" bestFit="1" customWidth="1"/>
    <col min="24" max="24" width="15.42578125" style="23" bestFit="1" customWidth="1"/>
    <col min="25" max="25" width="16.140625" style="23" bestFit="1" customWidth="1"/>
    <col min="26" max="26" width="15.7109375" style="23" bestFit="1" customWidth="1"/>
    <col min="27" max="28" width="15.5703125" style="23" bestFit="1" customWidth="1"/>
    <col min="29" max="29" width="15.7109375" style="23" bestFit="1" customWidth="1"/>
    <col min="30" max="30" width="15.5703125" style="23" bestFit="1" customWidth="1"/>
    <col min="31" max="31" width="15.42578125" style="23" bestFit="1" customWidth="1"/>
    <col min="32" max="32" width="18.85546875" bestFit="1" customWidth="1"/>
    <col min="33" max="33" width="18" bestFit="1" customWidth="1"/>
    <col min="34" max="35" width="19.140625" bestFit="1" customWidth="1"/>
    <col min="36" max="38" width="19" bestFit="1" customWidth="1"/>
    <col min="39" max="39" width="17.85546875" bestFit="1" customWidth="1"/>
    <col min="40" max="40" width="18.42578125" bestFit="1" customWidth="1"/>
  </cols>
  <sheetData>
    <row r="1" spans="1:31" s="38" customFormat="1" ht="21.75" thickBot="1" x14ac:dyDescent="0.3">
      <c r="A1" s="37" t="str">
        <f>'Raw ICP-OES Data'!A1</f>
        <v xml:space="preserve"> Inductively Coupled Plasma-Optical Emission Spectrometer (ICP-AES) Samples Review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</row>
    <row r="2" spans="1:31" s="2" customFormat="1" ht="3.75" customHeight="1" x14ac:dyDescent="0.25">
      <c r="A2" s="1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s="2" customFormat="1" x14ac:dyDescent="0.25">
      <c r="A3" s="3" t="str">
        <f>'Raw ICP-OES Data'!A3</f>
        <v>Sequence Name: Valmont Fly Ash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</row>
    <row r="4" spans="1:31" s="2" customFormat="1" x14ac:dyDescent="0.25">
      <c r="A4" s="3" t="str">
        <f>'Raw ICP-OES Data'!A4</f>
        <v>Digested By: Trevor Henry on 8/29/2024  electronic Lab book K-LRTD-NB-2993| Analyzed By: Mahendranath Arambewela. The final volume of the digestion was 50 mL.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</row>
    <row r="5" spans="1:31" s="2" customFormat="1" x14ac:dyDescent="0.25">
      <c r="A5" s="3" t="str">
        <f>'Raw ICP-OES Data'!A5</f>
        <v>Chain of Custody:  Not Received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</row>
    <row r="6" spans="1:31" s="2" customFormat="1" x14ac:dyDescent="0.25">
      <c r="A6" s="3" t="str">
        <f>'Raw ICP-OES Data'!A6</f>
        <v>Sample Preparation: Total metal samples were acid digested per SOP K-LRTD-SOP-1193-0 (based on  EPA Method 3051)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</row>
    <row r="7" spans="1:31" s="2" customFormat="1" x14ac:dyDescent="0.25">
      <c r="A7" s="3" t="str">
        <f>'Raw ICP-OES Data'!A7</f>
        <v>Instrument: Inductively coupled plasma-optical emission spectrometer (ICP-OES) Agilent 5900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s="2" customFormat="1" x14ac:dyDescent="0.25">
      <c r="A8" s="3" t="str">
        <f>'Raw ICP-OES Data'!A8</f>
        <v>Electronic data found at: L:\Priv\CtrHill\CSSB Applied Research\Spring River Watershed\Data Reports with QA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31" s="2" customFormat="1" x14ac:dyDescent="0.25">
      <c r="A9" s="3" t="str">
        <f>'Raw ICP-OES Data'!A9</f>
        <v>Analytical Method: ICP analysis per SOP K-LRTD-SOP-1185-1 (based on EPA Method 6010B)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31" s="2" customFormat="1" ht="3.75" customHeight="1" x14ac:dyDescent="0.25">
      <c r="A10" s="4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31" s="2" customFormat="1" ht="12.75" customHeight="1" x14ac:dyDescent="0.25">
      <c r="A11" s="24" t="str">
        <f>'Raw ICP-OES Data'!A11</f>
        <v>Raw Data Sheets: US-EPA CHL Facility Lab 131 Inductively coupled plasma-optical emission spectrometer (ICP-OES) Agilent 5900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31" s="2" customFormat="1" ht="3.75" customHeight="1" thickBot="1" x14ac:dyDescent="0.3"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31" s="2" customFormat="1" ht="15" customHeight="1" x14ac:dyDescent="0.25">
      <c r="B13" s="5" t="str">
        <f>'Raw ICP-OES Data'!B13</f>
        <v>MDL (mg/L)</v>
      </c>
      <c r="C13" s="6">
        <f>'Raw ICP-OES Data'!C13</f>
        <v>3.3255313645591529E-3</v>
      </c>
      <c r="D13" s="6">
        <f>'Raw ICP-OES Data'!D13</f>
        <v>5.817279764632261E-3</v>
      </c>
      <c r="E13" s="6">
        <f>'Raw ICP-OES Data'!E13</f>
        <v>3.9661384275724255E-3</v>
      </c>
      <c r="F13" s="6">
        <f>'Raw ICP-OES Data'!F13</f>
        <v>1.4698196338553474E-2</v>
      </c>
      <c r="G13" s="6">
        <f>'Raw ICP-OES Data'!G13</f>
        <v>2.1688760530130192E-4</v>
      </c>
      <c r="H13" s="6">
        <f>'Raw ICP-OES Data'!H13</f>
        <v>1.8146118960629933E-4</v>
      </c>
      <c r="I13" s="6">
        <f>'Raw ICP-OES Data'!I13</f>
        <v>4.357768029240045E-3</v>
      </c>
      <c r="J13" s="53">
        <f>'Raw ICP-OES Data'!J13</f>
        <v>3.0672539292772398E-4</v>
      </c>
      <c r="K13" s="6">
        <f>'Raw ICP-OES Data'!K13</f>
        <v>5.2681816281015465E-4</v>
      </c>
      <c r="L13" s="6">
        <f>'Raw ICP-OES Data'!L13</f>
        <v>4.3377521060260378E-4</v>
      </c>
      <c r="M13" s="6">
        <f>'Raw ICP-OES Data'!M13</f>
        <v>1.129066128857532E-3</v>
      </c>
      <c r="N13" s="6">
        <f>'Raw ICP-OES Data'!N13</f>
        <v>1.8146118960629934E-3</v>
      </c>
      <c r="O13" s="6">
        <f>'Raw ICP-OES Data'!O13</f>
        <v>6.2369574885195428E-2</v>
      </c>
      <c r="P13" s="6">
        <f>'Raw ICP-OES Data'!P13</f>
        <v>1.8657377271917579E-3</v>
      </c>
      <c r="Q13" s="6">
        <f>'Raw ICP-OES Data'!Q13</f>
        <v>4.1413607755583599E-3</v>
      </c>
      <c r="R13" s="6">
        <f>'Raw ICP-OES Data'!R13</f>
        <v>5.4004578200988367E-4</v>
      </c>
      <c r="S13" s="6">
        <f>'Raw ICP-OES Data'!S13</f>
        <v>5.8599804038352661E-4</v>
      </c>
      <c r="T13" s="6">
        <f>'Raw ICP-OES Data'!T13</f>
        <v>2.1117324925283513E-3</v>
      </c>
      <c r="U13" s="6">
        <f>'Raw ICP-OES Data'!U13</f>
        <v>1.1879423386680005E-3</v>
      </c>
      <c r="V13" s="6">
        <f>'Raw ICP-OES Data'!V13</f>
        <v>5.3703228074918037E-3</v>
      </c>
      <c r="W13" s="6">
        <f>'Raw ICP-OES Data'!W13</f>
        <v>2.8543595452103321E-3</v>
      </c>
      <c r="X13" s="6">
        <f>'Raw ICP-OES Data'!X13</f>
        <v>5.2039468031485486E-3</v>
      </c>
      <c r="Y13" s="6">
        <f>'Raw ICP-OES Data'!Y13</f>
        <v>5.7259970863888249E-3</v>
      </c>
      <c r="Z13" s="6">
        <f>'Raw ICP-OES Data'!Z13</f>
        <v>4.4953847710735503E-3</v>
      </c>
      <c r="AA13" s="6">
        <f>'Raw ICP-OES Data'!AA13</f>
        <v>3.4086562797286165E-3</v>
      </c>
      <c r="AB13" s="6">
        <f>'Raw ICP-OES Data'!AB13</f>
        <v>1.5336269646386205E-4</v>
      </c>
      <c r="AC13" s="6">
        <f>'Raw ICP-OES Data'!AC13</f>
        <v>2.1688760530130192E-4</v>
      </c>
      <c r="AD13" s="6">
        <f>'Raw ICP-OES Data'!AD13</f>
        <v>1.45654197444953E-3</v>
      </c>
      <c r="AE13" s="57">
        <f>'Raw ICP-OES Data'!AE13</f>
        <v>3.0672539292772409E-4</v>
      </c>
    </row>
    <row r="14" spans="1:31" s="2" customFormat="1" ht="15" hidden="1" customHeight="1" x14ac:dyDescent="0.25">
      <c r="B14" s="7" t="str">
        <f>'Raw ICP-OES Data'!B14</f>
        <v>MRL (mg/L)</v>
      </c>
      <c r="C14" s="8">
        <f>'Raw ICP-OES Data'!C14</f>
        <v>3.3255313645591526E-2</v>
      </c>
      <c r="D14" s="8">
        <f>'Raw ICP-OES Data'!D14</f>
        <v>5.8172797646322612E-2</v>
      </c>
      <c r="E14" s="8">
        <f>'Raw ICP-OES Data'!E14</f>
        <v>3.9661384275724257E-2</v>
      </c>
      <c r="F14" s="8">
        <f>'Raw ICP-OES Data'!F14</f>
        <v>0.14698196338553474</v>
      </c>
      <c r="G14" s="8">
        <f>'Raw ICP-OES Data'!G14</f>
        <v>2.168876053013019E-3</v>
      </c>
      <c r="H14" s="8">
        <f>'Raw ICP-OES Data'!H14</f>
        <v>1.8146118960629934E-3</v>
      </c>
      <c r="I14" s="8">
        <f>'Raw ICP-OES Data'!I14</f>
        <v>4.3577680292400452E-2</v>
      </c>
      <c r="J14" s="8">
        <f>'Raw ICP-OES Data'!J14</f>
        <v>3.06725392927724E-3</v>
      </c>
      <c r="K14" s="8">
        <f>'Raw ICP-OES Data'!K14</f>
        <v>5.2681816281015467E-3</v>
      </c>
      <c r="L14" s="8">
        <f>'Raw ICP-OES Data'!L14</f>
        <v>4.3377521060260381E-3</v>
      </c>
      <c r="M14" s="8">
        <f>'Raw ICP-OES Data'!M14</f>
        <v>1.129066128857532E-2</v>
      </c>
      <c r="N14" s="8">
        <f>'Raw ICP-OES Data'!N14</f>
        <v>1.8146118960629933E-2</v>
      </c>
      <c r="O14" s="8">
        <f>'Raw ICP-OES Data'!O14</f>
        <v>0.62369574885195433</v>
      </c>
      <c r="P14" s="8">
        <f>'Raw ICP-OES Data'!P14</f>
        <v>1.8657377271917578E-2</v>
      </c>
      <c r="Q14" s="8">
        <f>'Raw ICP-OES Data'!Q14</f>
        <v>4.1413607755583601E-2</v>
      </c>
      <c r="R14" s="8">
        <f>'Raw ICP-OES Data'!R14</f>
        <v>5.4004578200988369E-3</v>
      </c>
      <c r="S14" s="8">
        <f>'Raw ICP-OES Data'!S14</f>
        <v>5.8599804038352663E-3</v>
      </c>
      <c r="T14" s="8">
        <f>'Raw ICP-OES Data'!T14</f>
        <v>2.1117324925283513E-2</v>
      </c>
      <c r="U14" s="8">
        <f>'Raw ICP-OES Data'!U14</f>
        <v>1.1879423386680006E-2</v>
      </c>
      <c r="V14" s="8">
        <f>'Raw ICP-OES Data'!V14</f>
        <v>5.3703228074918036E-2</v>
      </c>
      <c r="W14" s="8">
        <f>'Raw ICP-OES Data'!W14</f>
        <v>2.8543595452103322E-2</v>
      </c>
      <c r="X14" s="8">
        <f>'Raw ICP-OES Data'!X14</f>
        <v>5.2039468031485486E-2</v>
      </c>
      <c r="Y14" s="8">
        <f>'Raw ICP-OES Data'!Y14</f>
        <v>5.7259970863888246E-2</v>
      </c>
      <c r="Z14" s="8">
        <f>'Raw ICP-OES Data'!Z14</f>
        <v>4.4953847710735503E-2</v>
      </c>
      <c r="AA14" s="8">
        <f>'Raw ICP-OES Data'!AA14</f>
        <v>3.4086562797286168E-2</v>
      </c>
      <c r="AB14" s="8">
        <f>'Raw ICP-OES Data'!AB14</f>
        <v>1.5336269646386205E-3</v>
      </c>
      <c r="AC14" s="8">
        <f>'Raw ICP-OES Data'!AC14</f>
        <v>2.168876053013019E-3</v>
      </c>
      <c r="AD14" s="8">
        <f>'Raw ICP-OES Data'!AD14</f>
        <v>1.4565419744495293E-2</v>
      </c>
      <c r="AE14" s="58">
        <f>'Raw ICP-OES Data'!AE14</f>
        <v>3.0672539292772409E-3</v>
      </c>
    </row>
    <row r="15" spans="1:31" s="2" customFormat="1" ht="15" customHeight="1" x14ac:dyDescent="0.25">
      <c r="B15" s="7" t="str">
        <f>B14</f>
        <v>MRL (mg/L)</v>
      </c>
      <c r="C15" s="8" t="str">
        <f>CONCATENATE("&lt;",ROUND(C14,4))</f>
        <v>&lt;0.0333</v>
      </c>
      <c r="D15" s="8" t="str">
        <f t="shared" ref="D15:I15" si="0">CONCATENATE("&lt;",ROUND(D14,4))</f>
        <v>&lt;0.0582</v>
      </c>
      <c r="E15" s="8" t="str">
        <f t="shared" si="0"/>
        <v>&lt;0.0397</v>
      </c>
      <c r="F15" s="8" t="str">
        <f t="shared" si="0"/>
        <v>&lt;0.147</v>
      </c>
      <c r="G15" s="8" t="str">
        <f t="shared" si="0"/>
        <v>&lt;0.0022</v>
      </c>
      <c r="H15" s="8" t="str">
        <f t="shared" si="0"/>
        <v>&lt;0.0018</v>
      </c>
      <c r="I15" s="8" t="str">
        <f t="shared" si="0"/>
        <v>&lt;0.0436</v>
      </c>
      <c r="J15" s="8" t="str">
        <f>CONCATENATE("&lt;",ROUND(J14,3))</f>
        <v>&lt;0.003</v>
      </c>
      <c r="K15" s="8" t="str">
        <f t="shared" ref="K15:AE15" si="1">CONCATENATE("&lt;",ROUND(K14,4))</f>
        <v>&lt;0.0053</v>
      </c>
      <c r="L15" s="8" t="str">
        <f t="shared" si="1"/>
        <v>&lt;0.0043</v>
      </c>
      <c r="M15" s="8" t="str">
        <f t="shared" si="1"/>
        <v>&lt;0.0113</v>
      </c>
      <c r="N15" s="8" t="str">
        <f t="shared" si="1"/>
        <v>&lt;0.0181</v>
      </c>
      <c r="O15" s="8" t="str">
        <f t="shared" si="1"/>
        <v>&lt;0.6237</v>
      </c>
      <c r="P15" s="8" t="str">
        <f t="shared" si="1"/>
        <v>&lt;0.0187</v>
      </c>
      <c r="Q15" s="8" t="str">
        <f t="shared" si="1"/>
        <v>&lt;0.0414</v>
      </c>
      <c r="R15" s="8" t="str">
        <f t="shared" si="1"/>
        <v>&lt;0.0054</v>
      </c>
      <c r="S15" s="8" t="str">
        <f t="shared" si="1"/>
        <v>&lt;0.0059</v>
      </c>
      <c r="T15" s="8" t="str">
        <f t="shared" si="1"/>
        <v>&lt;0.0211</v>
      </c>
      <c r="U15" s="8" t="str">
        <f t="shared" si="1"/>
        <v>&lt;0.0119</v>
      </c>
      <c r="V15" s="8" t="str">
        <f t="shared" si="1"/>
        <v>&lt;0.0537</v>
      </c>
      <c r="W15" s="8" t="str">
        <f t="shared" si="1"/>
        <v>&lt;0.0285</v>
      </c>
      <c r="X15" s="8" t="str">
        <f t="shared" si="1"/>
        <v>&lt;0.052</v>
      </c>
      <c r="Y15" s="8" t="str">
        <f t="shared" si="1"/>
        <v>&lt;0.0573</v>
      </c>
      <c r="Z15" s="8" t="str">
        <f t="shared" si="1"/>
        <v>&lt;0.045</v>
      </c>
      <c r="AA15" s="8" t="str">
        <f t="shared" si="1"/>
        <v>&lt;0.0341</v>
      </c>
      <c r="AB15" s="8" t="str">
        <f t="shared" si="1"/>
        <v>&lt;0.0015</v>
      </c>
      <c r="AC15" s="8" t="str">
        <f t="shared" si="1"/>
        <v>&lt;0.0022</v>
      </c>
      <c r="AD15" s="8" t="str">
        <f t="shared" si="1"/>
        <v>&lt;0.0146</v>
      </c>
      <c r="AE15" s="58" t="str">
        <f t="shared" si="1"/>
        <v>&lt;0.0031</v>
      </c>
    </row>
    <row r="16" spans="1:31" s="2" customFormat="1" ht="15" customHeight="1" x14ac:dyDescent="0.25">
      <c r="B16" s="7" t="s">
        <v>18</v>
      </c>
      <c r="C16" s="98">
        <f>'ICP-OES Total Metals'!C16</f>
        <v>3.3255313645591524</v>
      </c>
      <c r="D16" s="99">
        <f>'ICP-OES Total Metals'!D16</f>
        <v>5.8172797646322616</v>
      </c>
      <c r="E16" s="98">
        <f>'ICP-OES Total Metals'!E16</f>
        <v>3.9661384275724259</v>
      </c>
      <c r="F16" s="99">
        <f>'ICP-OES Total Metals'!F16</f>
        <v>14.698196338553474</v>
      </c>
      <c r="G16" s="98">
        <f>'ICP-OES Total Metals'!G16</f>
        <v>0.21688760530130191</v>
      </c>
      <c r="H16" s="100">
        <f>'ICP-OES Total Metals'!H16</f>
        <v>0.18146118960629934</v>
      </c>
      <c r="I16" s="101">
        <f>'ICP-OES Total Metals'!I16</f>
        <v>4.3577680292400451</v>
      </c>
      <c r="J16" s="100">
        <f>'ICP-OES Total Metals'!J16</f>
        <v>0.30672539292772399</v>
      </c>
      <c r="K16" s="98">
        <f>'ICP-OES Total Metals'!K16</f>
        <v>0.5268181628101547</v>
      </c>
      <c r="L16" s="99">
        <f>'ICP-OES Total Metals'!L16</f>
        <v>0.43377521060260382</v>
      </c>
      <c r="M16" s="98">
        <f>'ICP-OES Total Metals'!M16</f>
        <v>1.1290661288575321</v>
      </c>
      <c r="N16" s="99">
        <f>'ICP-OES Total Metals'!N16</f>
        <v>1.8146118960629933</v>
      </c>
      <c r="O16" s="100">
        <f>'ICP-OES Total Metals'!O16</f>
        <v>62.369574885195433</v>
      </c>
      <c r="P16" s="100">
        <f>'ICP-OES Total Metals'!P16</f>
        <v>1.8657377271917579</v>
      </c>
      <c r="Q16" s="100">
        <f>'ICP-OES Total Metals'!Q16</f>
        <v>4.1413607755583604</v>
      </c>
      <c r="R16" s="98">
        <f>'ICP-OES Total Metals'!R16</f>
        <v>0.54004578200988373</v>
      </c>
      <c r="S16" s="98">
        <f>'ICP-OES Total Metals'!S16</f>
        <v>0.58599804038352665</v>
      </c>
      <c r="T16" s="100">
        <f>'ICP-OES Total Metals'!T16</f>
        <v>2.1117324925283514</v>
      </c>
      <c r="U16" s="98">
        <f>'ICP-OES Total Metals'!U16</f>
        <v>1.1879423386680006</v>
      </c>
      <c r="V16" s="98">
        <f>'ICP-OES Total Metals'!V16</f>
        <v>5.3703228074918039</v>
      </c>
      <c r="W16" s="99">
        <f>'ICP-OES Total Metals'!W16</f>
        <v>2.8543595452103321</v>
      </c>
      <c r="X16" s="99">
        <f>'ICP-OES Total Metals'!X16</f>
        <v>5.2039468031485487</v>
      </c>
      <c r="Y16" s="98">
        <f>'ICP-OES Total Metals'!Y16</f>
        <v>5.7259970863888245</v>
      </c>
      <c r="Z16" s="98">
        <f>'ICP-OES Total Metals'!Z16</f>
        <v>4.4953847710735504</v>
      </c>
      <c r="AA16" s="100">
        <f>'ICP-OES Total Metals'!AA16</f>
        <v>3.4086562797286168</v>
      </c>
      <c r="AB16" s="98">
        <f>'ICP-OES Total Metals'!AB16</f>
        <v>0.15336269646386205</v>
      </c>
      <c r="AC16" s="98">
        <f>'ICP-OES Total Metals'!AC16</f>
        <v>0.21688760530130191</v>
      </c>
      <c r="AD16" s="98">
        <f>'ICP-OES Total Metals'!AD16</f>
        <v>1.4565419744495294</v>
      </c>
      <c r="AE16" s="102">
        <f>'ICP-OES Total Metals'!AE16</f>
        <v>0.30672539292772411</v>
      </c>
    </row>
    <row r="17" spans="1:40" s="2" customFormat="1" ht="15" customHeight="1" thickBot="1" x14ac:dyDescent="0.3">
      <c r="B17" s="9" t="s">
        <v>19</v>
      </c>
      <c r="C17" s="10" t="str">
        <f>CONCATENATE("&lt;",ROUND(C16,3))</f>
        <v>&lt;3.326</v>
      </c>
      <c r="D17" s="10" t="str">
        <f>CONCATENATE("&lt;",ROUND(D16,1))</f>
        <v>&lt;5.8</v>
      </c>
      <c r="E17" s="10" t="str">
        <f>CONCATENATE("&lt;",ROUND(E16,2))</f>
        <v>&lt;3.97</v>
      </c>
      <c r="F17" s="10" t="str">
        <f>CONCATENATE("&lt;",ROUND(F16,2))</f>
        <v>&lt;14.7</v>
      </c>
      <c r="G17" s="10" t="str">
        <f t="shared" ref="G17:S17" si="2">CONCATENATE("&lt;",ROUND(G16,3))</f>
        <v>&lt;0.217</v>
      </c>
      <c r="H17" s="10" t="str">
        <f>CONCATENATE("&lt;",ROUND(H16,1))</f>
        <v>&lt;0.2</v>
      </c>
      <c r="I17" s="10" t="str">
        <f>CONCATENATE("&lt;",ROUND(I16,3))</f>
        <v>&lt;4.358</v>
      </c>
      <c r="J17" s="52" t="str">
        <f>CONCATENATE("&lt;",ROUND(J16,1))</f>
        <v>&lt;0.3</v>
      </c>
      <c r="K17" s="10" t="str">
        <f>CONCATENATE("&lt;",ROUND(K16,3))</f>
        <v>&lt;0.527</v>
      </c>
      <c r="L17" s="49" t="str">
        <f>CONCATENATE("&lt;",ROUND(L16,2))</f>
        <v>&lt;0.43</v>
      </c>
      <c r="M17" s="10" t="str">
        <f>CONCATENATE("&lt;",ROUND(M16,3))</f>
        <v>&lt;1.129</v>
      </c>
      <c r="N17" s="10" t="str">
        <f>CONCATENATE("&lt;",ROUND(N16,2))</f>
        <v>&lt;1.81</v>
      </c>
      <c r="O17" s="10" t="str">
        <f>CONCATENATE("&lt;",ROUND(O16,1))</f>
        <v>&lt;62.4</v>
      </c>
      <c r="P17" s="10" t="str">
        <f>CONCATENATE("&lt;",ROUND(P16,1))</f>
        <v>&lt;1.9</v>
      </c>
      <c r="Q17" s="10" t="str">
        <f>CONCATENATE("&lt;",ROUND(Q16,1))</f>
        <v>&lt;4.1</v>
      </c>
      <c r="R17" s="10" t="str">
        <f>CONCATENATE("&lt;",ROUND(R16,2))</f>
        <v>&lt;0.54</v>
      </c>
      <c r="S17" s="10" t="str">
        <f t="shared" si="2"/>
        <v>&lt;0.586</v>
      </c>
      <c r="T17" s="10" t="str">
        <f>CONCATENATE("&lt;",ROUND(T16,1))</f>
        <v>&lt;2.1</v>
      </c>
      <c r="U17" s="10" t="str">
        <f>CONCATENATE("&lt;",ROUND(U16,2))</f>
        <v>&lt;1.19</v>
      </c>
      <c r="V17" s="10" t="str">
        <f>CONCATENATE("&lt;",ROUND(V16,2))</f>
        <v>&lt;5.37</v>
      </c>
      <c r="W17" s="10" t="str">
        <f>CONCATENATE("&lt;",ROUND(W16,1))</f>
        <v>&lt;2.9</v>
      </c>
      <c r="X17" s="10" t="str">
        <f>CONCATENATE("&lt;",ROUND(X16,2))</f>
        <v>&lt;5.2</v>
      </c>
      <c r="Y17" s="10" t="str">
        <f>CONCATENATE("&lt;",ROUND(Y16,2))</f>
        <v>&lt;5.73</v>
      </c>
      <c r="Z17" s="10" t="str">
        <f>CONCATENATE("&lt;",ROUND(Z16,2))</f>
        <v>&lt;4.5</v>
      </c>
      <c r="AA17" s="10" t="str">
        <f>CONCATENATE("&lt;",ROUND(AA16,1))</f>
        <v>&lt;3.4</v>
      </c>
      <c r="AB17" s="10" t="str">
        <f>CONCATENATE("&lt;",ROUND(AB16,3))</f>
        <v>&lt;0.153</v>
      </c>
      <c r="AC17" s="10" t="str">
        <f>CONCATENATE("&lt;",ROUND(AC16,2))</f>
        <v>&lt;0.22</v>
      </c>
      <c r="AD17" s="10" t="str">
        <f t="shared" ref="AD17:AE17" si="3">CONCATENATE("&lt;",ROUND(AD16,2))</f>
        <v>&lt;1.46</v>
      </c>
      <c r="AE17" s="59" t="str">
        <f t="shared" si="3"/>
        <v>&lt;0.31</v>
      </c>
    </row>
    <row r="18" spans="1:40" s="2" customFormat="1" ht="11.25" customHeight="1" x14ac:dyDescent="0.25">
      <c r="B18" s="21" t="s">
        <v>20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40" s="2" customFormat="1" ht="3.75" customHeight="1" x14ac:dyDescent="0.25"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40" s="33" customFormat="1" ht="11.25" customHeight="1" x14ac:dyDescent="0.25">
      <c r="A20" s="146" t="s">
        <v>10</v>
      </c>
      <c r="B20" s="148" t="s">
        <v>23</v>
      </c>
      <c r="C20" s="136" t="str">
        <f>'ICP-MS Total Metals'!C21</f>
        <v xml:space="preserve">45  Sc  [ No Gas ] </v>
      </c>
      <c r="D20" s="136" t="str">
        <f>'ICP-MS Total Metals'!D21</f>
        <v xml:space="preserve">71  Ga  [ No Gas ] </v>
      </c>
      <c r="E20" s="136" t="str">
        <f>'ICP-MS Total Metals'!E21</f>
        <v xml:space="preserve">72  Ge  [ No Gas ] </v>
      </c>
      <c r="F20" s="136" t="str">
        <f>'ICP-MS Total Metals'!F21</f>
        <v xml:space="preserve">85  Rb  [ No Gas ] </v>
      </c>
      <c r="G20" s="136" t="str">
        <f>'ICP-MS Total Metals'!G21</f>
        <v xml:space="preserve">89  Y  [ No Gas ] </v>
      </c>
      <c r="H20" s="136" t="str">
        <f>'ICP-MS Total Metals'!H21</f>
        <v xml:space="preserve">90  Zr  [ No Gas ] </v>
      </c>
      <c r="I20" s="136" t="str">
        <f>'ICP-MS Total Metals'!I21</f>
        <v xml:space="preserve">93  Nb  [ No Gas ] </v>
      </c>
      <c r="J20" s="136" t="str">
        <f>'ICP-MS Total Metals'!J21</f>
        <v xml:space="preserve">115  In  [ No Gas ] </v>
      </c>
      <c r="K20" s="136" t="str">
        <f>'ICP-MS Total Metals'!K21</f>
        <v xml:space="preserve">118  Sn  [ No Gas ] </v>
      </c>
      <c r="L20" s="136" t="str">
        <f>'ICP-MS Total Metals'!L21</f>
        <v xml:space="preserve">125  Te  [ No Gas ] </v>
      </c>
      <c r="M20" s="136" t="str">
        <f>'ICP-MS Total Metals'!M21</f>
        <v xml:space="preserve">133  Cs  [ No Gas ] </v>
      </c>
      <c r="N20" s="136" t="str">
        <f>'ICP-MS Total Metals'!N21</f>
        <v xml:space="preserve">139  La  [ No Gas ] </v>
      </c>
      <c r="O20" s="136" t="str">
        <f>'ICP-MS Total Metals'!O21</f>
        <v xml:space="preserve">140  Ce  [ No Gas ] </v>
      </c>
      <c r="P20" s="136" t="str">
        <f>'ICP-MS Total Metals'!P21</f>
        <v xml:space="preserve">141  Pr  [ No Gas ] </v>
      </c>
      <c r="Q20" s="136" t="str">
        <f>'ICP-MS Total Metals'!Q21</f>
        <v xml:space="preserve">146  Nd  [ No Gas ] </v>
      </c>
      <c r="R20" s="136" t="str">
        <f>'ICP-MS Total Metals'!R21</f>
        <v xml:space="preserve">147  Sm  [ No Gas ] </v>
      </c>
      <c r="S20" s="136" t="str">
        <f>'ICP-MS Total Metals'!S21</f>
        <v xml:space="preserve">153  Eu  [ No Gas ] </v>
      </c>
      <c r="T20" s="136" t="str">
        <f>'ICP-MS Total Metals'!T21</f>
        <v xml:space="preserve">157  Gd  [ No Gas ] </v>
      </c>
      <c r="U20" s="136" t="str">
        <f>'ICP-MS Total Metals'!U21</f>
        <v xml:space="preserve">159  Tb  [ No Gas ] </v>
      </c>
      <c r="V20" s="136" t="str">
        <f>'ICP-MS Total Metals'!V21</f>
        <v xml:space="preserve">163  Dy  [ No Gas ] </v>
      </c>
      <c r="W20" s="136" t="str">
        <f>'ICP-MS Total Metals'!W21</f>
        <v xml:space="preserve">165  Ho  [ No Gas ] </v>
      </c>
      <c r="X20" s="136" t="str">
        <f>'ICP-MS Total Metals'!X21</f>
        <v xml:space="preserve">166  Er  [ No Gas ] </v>
      </c>
      <c r="Y20" s="136" t="str">
        <f>'ICP-MS Total Metals'!Y21</f>
        <v xml:space="preserve">169  Tm  [ No Gas ] </v>
      </c>
      <c r="Z20" s="136" t="str">
        <f>'ICP-MS Total Metals'!Z21</f>
        <v xml:space="preserve">172  Yb  [ No Gas ] </v>
      </c>
      <c r="AA20" s="136" t="str">
        <f>'ICP-MS Total Metals'!AA21</f>
        <v xml:space="preserve">175  Lu  [ No Gas ] </v>
      </c>
      <c r="AB20" s="136" t="str">
        <f>'ICP-MS Total Metals'!AB21</f>
        <v xml:space="preserve">178  Hf  [ No Gas ] </v>
      </c>
      <c r="AC20" s="136" t="str">
        <f>'ICP-MS Total Metals'!AC21</f>
        <v xml:space="preserve">181  Ta  [ No Gas ] </v>
      </c>
      <c r="AD20" s="136" t="str">
        <f>'ICP-MS Total Metals'!AD21</f>
        <v xml:space="preserve">182  W  [ No Gas ] </v>
      </c>
      <c r="AE20" s="136" t="str">
        <f>'ICP-MS Total Metals'!AE21</f>
        <v xml:space="preserve">209  Bi  [ No Gas ] </v>
      </c>
      <c r="AF20" s="136" t="str">
        <f>'ICP-MS Total Metals'!AF21</f>
        <v xml:space="preserve">232  Th  [ No Gas ] </v>
      </c>
      <c r="AG20" s="136" t="str">
        <f>'ICP-MS Total Metals'!AG21</f>
        <v xml:space="preserve">238  U  [ No Gas ] </v>
      </c>
      <c r="AH20" s="136" t="str">
        <f>'ICP-MS Total Metals'!AH21</f>
        <v xml:space="preserve">101  Ru  [ No Gas ] </v>
      </c>
      <c r="AI20" s="136" t="str">
        <f>'ICP-MS Total Metals'!AI21</f>
        <v xml:space="preserve">103  Rh  [ No Gas ] </v>
      </c>
      <c r="AJ20" s="136" t="str">
        <f>'ICP-MS Total Metals'!AJ21</f>
        <v xml:space="preserve">104  Pd  [ No Gas ] </v>
      </c>
      <c r="AK20" s="136" t="str">
        <f>'ICP-MS Total Metals'!AK21</f>
        <v xml:space="preserve">105  Pd  [ No Gas ] </v>
      </c>
      <c r="AL20" s="136" t="str">
        <f>'ICP-MS Total Metals'!AL21</f>
        <v xml:space="preserve">110  Pd  [ No Gas ] </v>
      </c>
      <c r="AM20" s="136" t="str">
        <f>'ICP-MS Total Metals'!AM21</f>
        <v xml:space="preserve">193  Ir  [ No Gas ] </v>
      </c>
      <c r="AN20" s="136" t="str">
        <f>'ICP-MS Total Metals'!AN21</f>
        <v xml:space="preserve">195  Pt  [ No Gas ] </v>
      </c>
    </row>
    <row r="21" spans="1:40" s="42" customFormat="1" ht="11.25" customHeight="1" x14ac:dyDescent="0.25">
      <c r="A21" s="146"/>
      <c r="B21" s="148"/>
      <c r="C21" s="136" t="str">
        <f>'ICP-MS Total Metals'!C22</f>
        <v>ug/kg</v>
      </c>
      <c r="D21" s="136" t="str">
        <f>'ICP-MS Total Metals'!D22</f>
        <v>ug/kg</v>
      </c>
      <c r="E21" s="136" t="str">
        <f>'ICP-MS Total Metals'!E22</f>
        <v>ug/kg</v>
      </c>
      <c r="F21" s="136" t="str">
        <f>'ICP-MS Total Metals'!F22</f>
        <v>ug/kg</v>
      </c>
      <c r="G21" s="136" t="str">
        <f>'ICP-MS Total Metals'!G22</f>
        <v>ug/kg</v>
      </c>
      <c r="H21" s="136" t="str">
        <f>'ICP-MS Total Metals'!H22</f>
        <v>ug/kg</v>
      </c>
      <c r="I21" s="136" t="str">
        <f>'ICP-MS Total Metals'!I22</f>
        <v>ug/kg</v>
      </c>
      <c r="J21" s="136" t="str">
        <f>'ICP-MS Total Metals'!J22</f>
        <v>ug/kg</v>
      </c>
      <c r="K21" s="136" t="str">
        <f>'ICP-MS Total Metals'!K22</f>
        <v>ug/kg</v>
      </c>
      <c r="L21" s="136" t="str">
        <f>'ICP-MS Total Metals'!L22</f>
        <v>ug/kg</v>
      </c>
      <c r="M21" s="136" t="str">
        <f>'ICP-MS Total Metals'!M22</f>
        <v>ug/kg</v>
      </c>
      <c r="N21" s="136" t="str">
        <f>'ICP-MS Total Metals'!N22</f>
        <v>ug/kg</v>
      </c>
      <c r="O21" s="136" t="str">
        <f>'ICP-MS Total Metals'!O22</f>
        <v>ug/kg</v>
      </c>
      <c r="P21" s="136" t="str">
        <f>'ICP-MS Total Metals'!P22</f>
        <v>ug/kg</v>
      </c>
      <c r="Q21" s="136" t="str">
        <f>'ICP-MS Total Metals'!Q22</f>
        <v>ug/kg</v>
      </c>
      <c r="R21" s="136" t="str">
        <f>'ICP-MS Total Metals'!R22</f>
        <v>ug/kg</v>
      </c>
      <c r="S21" s="136" t="str">
        <f>'ICP-MS Total Metals'!S22</f>
        <v>ug/kg</v>
      </c>
      <c r="T21" s="136" t="str">
        <f>'ICP-MS Total Metals'!T22</f>
        <v>ug/kg</v>
      </c>
      <c r="U21" s="136" t="str">
        <f>'ICP-MS Total Metals'!U22</f>
        <v>ug/kg</v>
      </c>
      <c r="V21" s="136" t="str">
        <f>'ICP-MS Total Metals'!V22</f>
        <v>ug/kg</v>
      </c>
      <c r="W21" s="136" t="str">
        <f>'ICP-MS Total Metals'!W22</f>
        <v>ug/kg</v>
      </c>
      <c r="X21" s="136" t="str">
        <f>'ICP-MS Total Metals'!X22</f>
        <v>ug/kg</v>
      </c>
      <c r="Y21" s="136" t="str">
        <f>'ICP-MS Total Metals'!Y22</f>
        <v>ug/kg</v>
      </c>
      <c r="Z21" s="136" t="str">
        <f>'ICP-MS Total Metals'!Z22</f>
        <v>ug/kg</v>
      </c>
      <c r="AA21" s="136" t="str">
        <f>'ICP-MS Total Metals'!AA22</f>
        <v>ug/kg</v>
      </c>
      <c r="AB21" s="136" t="str">
        <f>'ICP-MS Total Metals'!AB22</f>
        <v>ug/kg</v>
      </c>
      <c r="AC21" s="136" t="str">
        <f>'ICP-MS Total Metals'!AC22</f>
        <v>ug/kg</v>
      </c>
      <c r="AD21" s="136" t="str">
        <f>'ICP-MS Total Metals'!AD22</f>
        <v>ug/kg</v>
      </c>
      <c r="AE21" s="136" t="str">
        <f>'ICP-MS Total Metals'!AE22</f>
        <v>ug/kg</v>
      </c>
      <c r="AF21" s="136" t="str">
        <f>'ICP-MS Total Metals'!AF22</f>
        <v>ug/kg</v>
      </c>
      <c r="AG21" s="136" t="str">
        <f>'ICP-MS Total Metals'!AG22</f>
        <v>ug/kg</v>
      </c>
      <c r="AH21" s="136" t="str">
        <f>'ICP-MS Total Metals'!AH22</f>
        <v>ug/kg</v>
      </c>
      <c r="AI21" s="136" t="str">
        <f>'ICP-MS Total Metals'!AI22</f>
        <v>ug/kg</v>
      </c>
      <c r="AJ21" s="136" t="str">
        <f>'ICP-MS Total Metals'!AJ22</f>
        <v>ug/kg</v>
      </c>
      <c r="AK21" s="136" t="str">
        <f>'ICP-MS Total Metals'!AK22</f>
        <v>ug/kg</v>
      </c>
      <c r="AL21" s="136" t="str">
        <f>'ICP-MS Total Metals'!AL22</f>
        <v>ug/kg</v>
      </c>
      <c r="AM21" s="136" t="str">
        <f>'ICP-MS Total Metals'!AM22</f>
        <v>ug/kg</v>
      </c>
      <c r="AN21" s="136" t="str">
        <f>'ICP-MS Total Metals'!AN22</f>
        <v>ug/kg</v>
      </c>
    </row>
    <row r="22" spans="1:40" s="19" customFormat="1" x14ac:dyDescent="0.25">
      <c r="A22" s="18"/>
      <c r="B22" s="18"/>
      <c r="C22" s="136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40" s="11" customFormat="1" ht="15.75" thickBot="1" x14ac:dyDescent="0.3">
      <c r="A23" s="11" t="str">
        <f>'Raw ICP-OES Data'!A19</f>
        <v>Total Metals after Acid Digestion</v>
      </c>
      <c r="C23" s="27"/>
      <c r="D23" s="27"/>
      <c r="E23" s="27"/>
      <c r="F23" s="27"/>
      <c r="G23" s="27"/>
      <c r="H23" s="27"/>
      <c r="I23" s="27"/>
      <c r="J23" s="27"/>
      <c r="K23" s="141" t="s">
        <v>183</v>
      </c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40" s="65" customFormat="1" x14ac:dyDescent="0.25">
      <c r="A24" s="104" t="s">
        <v>191</v>
      </c>
      <c r="B24" s="45">
        <v>3</v>
      </c>
      <c r="C24" s="46">
        <f>IF(ISNUMBER('ICP-MS Total Metals'!C25),(AVERAGE('ICP-MS Total Metals'!C24:C26)),C$17)</f>
        <v>1482.6783667028021</v>
      </c>
      <c r="D24" s="46">
        <f>IF(ISNUMBER('ICP-MS Total Metals'!D25),(AVERAGE('ICP-MS Total Metals'!D24:D26)),D$17)</f>
        <v>679.75061679340263</v>
      </c>
      <c r="E24" s="46">
        <f>IF(ISNUMBER('ICP-MS Total Metals'!E25),(AVERAGE('ICP-MS Total Metals'!E24:E26)),E$17)</f>
        <v>1669.1972966530493</v>
      </c>
      <c r="F24" s="46">
        <f>IF(ISNUMBER('ICP-MS Total Metals'!F25),(AVERAGE('ICP-MS Total Metals'!F24:F26)),F$17)</f>
        <v>1828.4302257106474</v>
      </c>
      <c r="G24" s="46">
        <f>IF(ISNUMBER('ICP-MS Total Metals'!G25),(AVERAGE('ICP-MS Total Metals'!G24:G26)),G$17)</f>
        <v>10434.599579479009</v>
      </c>
      <c r="H24" s="46">
        <f>IF(ISNUMBER('ICP-MS Total Metals'!H25),(AVERAGE('ICP-MS Total Metals'!H24:H26)),H$17)</f>
        <v>2106.0764337991841</v>
      </c>
      <c r="I24" s="46">
        <f>IF(ISNUMBER('ICP-MS Total Metals'!I25),(AVERAGE('ICP-MS Total Metals'!I24:I26)),I$17)</f>
        <v>76.842135067869876</v>
      </c>
      <c r="J24" s="46">
        <f>IF(ISNUMBER('ICP-MS Total Metals'!J25),(AVERAGE('ICP-MS Total Metals'!J24:J26)),J$17)</f>
        <v>914.6080985522766</v>
      </c>
      <c r="K24" s="139">
        <f>IF(ISNUMBER('ICP-MS Total Metals'!K25),(AVERAGE('ICP-MS Total Metals'!K24:K26)),K$17)</f>
        <v>277042.73639153811</v>
      </c>
      <c r="L24" s="46">
        <f>IF(ISNUMBER('ICP-MS Total Metals'!L25),(AVERAGE('ICP-MS Total Metals'!L24:L26)),L$17)</f>
        <v>92.929032210279885</v>
      </c>
      <c r="M24" s="46">
        <f>IF(ISNUMBER('ICP-MS Total Metals'!M25),(AVERAGE('ICP-MS Total Metals'!M24:M26)),M$17)</f>
        <v>453.08088544763103</v>
      </c>
      <c r="N24" s="46">
        <f>IF(ISNUMBER('ICP-MS Total Metals'!N25),(AVERAGE('ICP-MS Total Metals'!N24:N26)),N$17)</f>
        <v>5869.7715376766364</v>
      </c>
      <c r="O24" s="46">
        <f>IF(ISNUMBER('ICP-MS Total Metals'!O25),(AVERAGE('ICP-MS Total Metals'!O24:O26)),O$17)</f>
        <v>20510.456615023824</v>
      </c>
      <c r="P24" s="46">
        <f>IF(ISNUMBER('ICP-MS Total Metals'!P25),(AVERAGE('ICP-MS Total Metals'!P24:P26)),P$17)</f>
        <v>2190.8203525419144</v>
      </c>
      <c r="Q24" s="46">
        <f>IF(ISNUMBER('ICP-MS Total Metals'!Q25),(AVERAGE('ICP-MS Total Metals'!Q24:Q26)),Q$17)</f>
        <v>9009.4841706388761</v>
      </c>
      <c r="R24" s="46">
        <f>IF(ISNUMBER('ICP-MS Total Metals'!R25),(AVERAGE('ICP-MS Total Metals'!R24:R26)),R$17)</f>
        <v>2069.4687428325828</v>
      </c>
      <c r="S24" s="46">
        <f>IF(ISNUMBER('ICP-MS Total Metals'!S25),(AVERAGE('ICP-MS Total Metals'!S24:S26)),S$17)</f>
        <v>438.36573023911131</v>
      </c>
      <c r="T24" s="46">
        <f>IF(ISNUMBER('ICP-MS Total Metals'!T25),(AVERAGE('ICP-MS Total Metals'!T24:T26)),T$17)</f>
        <v>2378.5182569541889</v>
      </c>
      <c r="U24" s="46">
        <f>IF(ISNUMBER('ICP-MS Total Metals'!U25),(AVERAGE('ICP-MS Total Metals'!U24:U26)),U$17)</f>
        <v>290.30486919245351</v>
      </c>
      <c r="V24" s="46">
        <f>IF(ISNUMBER('ICP-MS Total Metals'!V25),(AVERAGE('ICP-MS Total Metals'!V24:V26)),V$17)</f>
        <v>1908.018404276213</v>
      </c>
      <c r="W24" s="46">
        <f>IF(ISNUMBER('ICP-MS Total Metals'!W25),(AVERAGE('ICP-MS Total Metals'!W24:W26)),W$17)</f>
        <v>398.09319631391821</v>
      </c>
      <c r="X24" s="46">
        <f>IF(ISNUMBER('ICP-MS Total Metals'!X25),(AVERAGE('ICP-MS Total Metals'!X24:X26)),X$17)</f>
        <v>1136.3472006182947</v>
      </c>
      <c r="Y24" s="46">
        <f>IF(ISNUMBER('ICP-MS Total Metals'!Y25),(AVERAGE('ICP-MS Total Metals'!Y24:Y26)),Y$17)</f>
        <v>153.43656388200392</v>
      </c>
      <c r="Z24" s="46">
        <f>IF(ISNUMBER('ICP-MS Total Metals'!Z25),(AVERAGE('ICP-MS Total Metals'!Z24:Z26)),Z$17)</f>
        <v>958.72469076390371</v>
      </c>
      <c r="AA24" s="46">
        <f>IF(ISNUMBER('ICP-MS Total Metals'!AA25),(AVERAGE('ICP-MS Total Metals'!AA24:AA26)),AA$17)</f>
        <v>136.36342273455759</v>
      </c>
      <c r="AB24" s="46">
        <f>IF(ISNUMBER('ICP-MS Total Metals'!AB25),(AVERAGE('ICP-MS Total Metals'!AB24:AB26)),AB$17)</f>
        <v>106.68435061505295</v>
      </c>
      <c r="AC24" s="46">
        <f>IF(ISNUMBER('ICP-MS Total Metals'!AC25),(AVERAGE('ICP-MS Total Metals'!AC24:AC26)),AC$17)</f>
        <v>14.891660570207939</v>
      </c>
      <c r="AD24" s="46">
        <f>IF(ISNUMBER('ICP-MS Total Metals'!AD25),(AVERAGE('ICP-MS Total Metals'!AD24:AD26)),AD$17)</f>
        <v>59.277961628301917</v>
      </c>
      <c r="AE24" s="46">
        <f>IF(ISNUMBER('ICP-MS Total Metals'!AE25),(AVERAGE('ICP-MS Total Metals'!AE24:AE26)),AE$17)</f>
        <v>764.20632984532824</v>
      </c>
      <c r="AF24" s="46">
        <f>IF(ISNUMBER('ICP-MS Total Metals'!AF25),(AVERAGE('ICP-MS Total Metals'!AF24:AF26)),AF$17)</f>
        <v>1494.1087440651636</v>
      </c>
      <c r="AG24" s="46">
        <f>IF(ISNUMBER('ICP-MS Total Metals'!AG25),(AVERAGE('ICP-MS Total Metals'!AG24:AG26)),AG$17)</f>
        <v>798.01219282613476</v>
      </c>
      <c r="AH24" s="46">
        <f>IF(ISNUMBER('ICP-MS Total Metals'!AH25),(AVERAGE('ICP-MS Total Metals'!AH24:AH26)),AH$17)</f>
        <v>0</v>
      </c>
      <c r="AI24" s="46">
        <f>IF(ISNUMBER('ICP-MS Total Metals'!AI25),(AVERAGE('ICP-MS Total Metals'!AI24:AI26)),AI$17)</f>
        <v>27.535182015235225</v>
      </c>
      <c r="AJ24" s="46">
        <f>IF(ISNUMBER('ICP-MS Total Metals'!AJ25),(AVERAGE('ICP-MS Total Metals'!AJ24:AJ26)),AJ$17)</f>
        <v>415.063762299872</v>
      </c>
      <c r="AK24" s="46">
        <f>IF(ISNUMBER('ICP-MS Total Metals'!AK25),(AVERAGE('ICP-MS Total Metals'!AK24:AK26)),AK$17)</f>
        <v>37.188451490433472</v>
      </c>
      <c r="AL24" s="46">
        <f>IF(ISNUMBER('ICP-MS Total Metals'!AL25),(AVERAGE('ICP-MS Total Metals'!AL24:AL26)),AL$17)</f>
        <v>14029.195698075118</v>
      </c>
      <c r="AM24" s="46">
        <f>IF(ISNUMBER('ICP-MS Total Metals'!AM25),(AVERAGE('ICP-MS Total Metals'!AM24:AM26)),AM$17)</f>
        <v>11.976656629623285</v>
      </c>
      <c r="AN24" s="46">
        <f>IF(ISNUMBER('ICP-MS Total Metals'!AN25),(AVERAGE('ICP-MS Total Metals'!AN24:AN26)),AN$17)</f>
        <v>0</v>
      </c>
    </row>
    <row r="25" spans="1:40" s="22" customFormat="1" x14ac:dyDescent="0.25">
      <c r="A25" s="104" t="s">
        <v>192</v>
      </c>
      <c r="B25" s="54">
        <v>3</v>
      </c>
      <c r="C25" s="46">
        <f>IF(ISNUMBER('ICP-MS Total Metals'!C26),(AVERAGE('ICP-MS Total Metals'!C25:C27)),C$17)</f>
        <v>1545.3021098962838</v>
      </c>
      <c r="D25" s="46">
        <f>IF(ISNUMBER('ICP-MS Total Metals'!D26),(AVERAGE('ICP-MS Total Metals'!D25:D27)),D$17)</f>
        <v>793.05971449405149</v>
      </c>
      <c r="E25" s="46">
        <f>IF(ISNUMBER('ICP-MS Total Metals'!E26),(AVERAGE('ICP-MS Total Metals'!E25:E27)),E$17)</f>
        <v>1800.5778655286565</v>
      </c>
      <c r="F25" s="46">
        <f>IF(ISNUMBER('ICP-MS Total Metals'!F26),(AVERAGE('ICP-MS Total Metals'!F25:F27)),F$17)</f>
        <v>2256.014819190576</v>
      </c>
      <c r="G25" s="46">
        <f>IF(ISNUMBER('ICP-MS Total Metals'!G26),(AVERAGE('ICP-MS Total Metals'!G25:G27)),G$17)</f>
        <v>10532.527252642954</v>
      </c>
      <c r="H25" s="46">
        <f>IF(ISNUMBER('ICP-MS Total Metals'!H26),(AVERAGE('ICP-MS Total Metals'!H25:H27)),H$17)</f>
        <v>2294.7553215676803</v>
      </c>
      <c r="I25" s="46">
        <f>IF(ISNUMBER('ICP-MS Total Metals'!I26),(AVERAGE('ICP-MS Total Metals'!I25:I27)),I$17)</f>
        <v>64.758742140364177</v>
      </c>
      <c r="J25" s="46">
        <f>IF(ISNUMBER('ICP-MS Total Metals'!J26),(AVERAGE('ICP-MS Total Metals'!J25:J27)),J$17)</f>
        <v>685.33247447746362</v>
      </c>
      <c r="K25" s="139">
        <f>IF(ISNUMBER('ICP-MS Total Metals'!K26),(AVERAGE('ICP-MS Total Metals'!K25:K27)),K$17)</f>
        <v>296165.76847369008</v>
      </c>
      <c r="L25" s="46">
        <f>IF(ISNUMBER('ICP-MS Total Metals'!L26),(AVERAGE('ICP-MS Total Metals'!L25:L27)),L$17)</f>
        <v>56.697377200752179</v>
      </c>
      <c r="M25" s="46">
        <f>IF(ISNUMBER('ICP-MS Total Metals'!M26),(AVERAGE('ICP-MS Total Metals'!M25:M27)),M$17)</f>
        <v>445.13290590904779</v>
      </c>
      <c r="N25" s="46">
        <f>IF(ISNUMBER('ICP-MS Total Metals'!N26),(AVERAGE('ICP-MS Total Metals'!N25:N27)),N$17)</f>
        <v>5708.2670976143418</v>
      </c>
      <c r="O25" s="46">
        <f>IF(ISNUMBER('ICP-MS Total Metals'!O26),(AVERAGE('ICP-MS Total Metals'!O25:O27)),O$17)</f>
        <v>20017.927782692586</v>
      </c>
      <c r="P25" s="46">
        <f>IF(ISNUMBER('ICP-MS Total Metals'!P26),(AVERAGE('ICP-MS Total Metals'!P25:P27)),P$17)</f>
        <v>2165.5803560136887</v>
      </c>
      <c r="Q25" s="46">
        <f>IF(ISNUMBER('ICP-MS Total Metals'!Q26),(AVERAGE('ICP-MS Total Metals'!Q25:Q27)),Q$17)</f>
        <v>8915.4873424562084</v>
      </c>
      <c r="R25" s="46">
        <f>IF(ISNUMBER('ICP-MS Total Metals'!R26),(AVERAGE('ICP-MS Total Metals'!R25:R27)),R$17)</f>
        <v>2067.9630176831838</v>
      </c>
      <c r="S25" s="46">
        <f>IF(ISNUMBER('ICP-MS Total Metals'!S26),(AVERAGE('ICP-MS Total Metals'!S25:S27)),S$17)</f>
        <v>447.38962345977507</v>
      </c>
      <c r="T25" s="46">
        <f>IF(ISNUMBER('ICP-MS Total Metals'!T26),(AVERAGE('ICP-MS Total Metals'!T25:T27)),T$17)</f>
        <v>2380.4872767549518</v>
      </c>
      <c r="U25" s="46">
        <f>IF(ISNUMBER('ICP-MS Total Metals'!U26),(AVERAGE('ICP-MS Total Metals'!U25:U27)),U$17)</f>
        <v>292.62061888853043</v>
      </c>
      <c r="V25" s="46">
        <f>IF(ISNUMBER('ICP-MS Total Metals'!V26),(AVERAGE('ICP-MS Total Metals'!V25:V27)),V$17)</f>
        <v>1945.8272013370158</v>
      </c>
      <c r="W25" s="46">
        <f>IF(ISNUMBER('ICP-MS Total Metals'!W26),(AVERAGE('ICP-MS Total Metals'!W25:W27)),W$17)</f>
        <v>403.82677068412653</v>
      </c>
      <c r="X25" s="46">
        <f>IF(ISNUMBER('ICP-MS Total Metals'!X26),(AVERAGE('ICP-MS Total Metals'!X25:X27)),X$17)</f>
        <v>1171.7394985059273</v>
      </c>
      <c r="Y25" s="46">
        <f>IF(ISNUMBER('ICP-MS Total Metals'!Y26),(AVERAGE('ICP-MS Total Metals'!Y25:Y27)),Y$17)</f>
        <v>159.24134352486374</v>
      </c>
      <c r="Z25" s="46">
        <f>IF(ISNUMBER('ICP-MS Total Metals'!Z26),(AVERAGE('ICP-MS Total Metals'!Z25:Z27)),Z$17)</f>
        <v>976.43105654940882</v>
      </c>
      <c r="AA25" s="46">
        <f>IF(ISNUMBER('ICP-MS Total Metals'!AA26),(AVERAGE('ICP-MS Total Metals'!AA25:AA27)),AA$17)</f>
        <v>142.71215545609002</v>
      </c>
      <c r="AB25" s="46">
        <f>IF(ISNUMBER('ICP-MS Total Metals'!AB26),(AVERAGE('ICP-MS Total Metals'!AB25:AB27)),AB$17)</f>
        <v>107.57050443778637</v>
      </c>
      <c r="AC25" s="46">
        <f>IF(ISNUMBER('ICP-MS Total Metals'!AC26),(AVERAGE('ICP-MS Total Metals'!AC25:AC27)),AC$17)</f>
        <v>11.040851505671993</v>
      </c>
      <c r="AD25" s="46">
        <f>IF(ISNUMBER('ICP-MS Total Metals'!AD26),(AVERAGE('ICP-MS Total Metals'!AD25:AD27)),AD$17)</f>
        <v>51.339047034908994</v>
      </c>
      <c r="AE25" s="46">
        <f>IF(ISNUMBER('ICP-MS Total Metals'!AE26),(AVERAGE('ICP-MS Total Metals'!AE25:AE27)),AE$17)</f>
        <v>647.18348142228297</v>
      </c>
      <c r="AF25" s="46">
        <f>IF(ISNUMBER('ICP-MS Total Metals'!AF26),(AVERAGE('ICP-MS Total Metals'!AF25:AF27)),AF$17)</f>
        <v>1552.8030142092973</v>
      </c>
      <c r="AG25" s="46">
        <f>IF(ISNUMBER('ICP-MS Total Metals'!AG26),(AVERAGE('ICP-MS Total Metals'!AG25:AG27)),AG$17)</f>
        <v>849.66627415747632</v>
      </c>
      <c r="AH25" s="46">
        <f>IF(ISNUMBER('ICP-MS Total Metals'!AH26),(AVERAGE('ICP-MS Total Metals'!AH25:AH27)),AH$17)</f>
        <v>0</v>
      </c>
      <c r="AI25" s="46">
        <f>IF(ISNUMBER('ICP-MS Total Metals'!AI26),(AVERAGE('ICP-MS Total Metals'!AI25:AI27)),AI$17)</f>
        <v>47.93116604912376</v>
      </c>
      <c r="AJ25" s="46">
        <f>IF(ISNUMBER('ICP-MS Total Metals'!AJ26),(AVERAGE('ICP-MS Total Metals'!AJ25:AJ27)),AJ$17)</f>
        <v>548.86924989684962</v>
      </c>
      <c r="AK25" s="46">
        <f>IF(ISNUMBER('ICP-MS Total Metals'!AK26),(AVERAGE('ICP-MS Total Metals'!AK25:AK27)),AK$17)</f>
        <v>0</v>
      </c>
      <c r="AL25" s="46">
        <f>IF(ISNUMBER('ICP-MS Total Metals'!AL26),(AVERAGE('ICP-MS Total Metals'!AL25:AL27)),AL$17)</f>
        <v>11898.597037158734</v>
      </c>
      <c r="AM25" s="46">
        <f>IF(ISNUMBER('ICP-MS Total Metals'!AM26),(AVERAGE('ICP-MS Total Metals'!AM25:AM27)),AM$17)</f>
        <v>0</v>
      </c>
      <c r="AN25" s="46">
        <f>IF(ISNUMBER('ICP-MS Total Metals'!AN26),(AVERAGE('ICP-MS Total Metals'!AN25:AN27)),AN$17)</f>
        <v>0</v>
      </c>
    </row>
    <row r="26" spans="1:40" s="22" customFormat="1" x14ac:dyDescent="0.25">
      <c r="A26" s="104" t="s">
        <v>193</v>
      </c>
      <c r="B26" s="45">
        <v>3</v>
      </c>
      <c r="C26" s="46">
        <f>IF(ISNUMBER('ICP-MS Total Metals'!C27),(AVERAGE('ICP-MS Total Metals'!C26:C28)),C$17)</f>
        <v>1629.2897412420607</v>
      </c>
      <c r="D26" s="46">
        <f>IF(ISNUMBER('ICP-MS Total Metals'!D27),(AVERAGE('ICP-MS Total Metals'!D26:D28)),D$17)</f>
        <v>942.18445212141796</v>
      </c>
      <c r="E26" s="46">
        <f>IF(ISNUMBER('ICP-MS Total Metals'!E27),(AVERAGE('ICP-MS Total Metals'!E26:E28)),E$17)</f>
        <v>1957.9286343554704</v>
      </c>
      <c r="F26" s="46">
        <f>IF(ISNUMBER('ICP-MS Total Metals'!F27),(AVERAGE('ICP-MS Total Metals'!F26:F28)),F$17)</f>
        <v>2717.62953051667</v>
      </c>
      <c r="G26" s="46">
        <f>IF(ISNUMBER('ICP-MS Total Metals'!G27),(AVERAGE('ICP-MS Total Metals'!G26:G28)),G$17)</f>
        <v>10827.457570750314</v>
      </c>
      <c r="H26" s="46">
        <f>IF(ISNUMBER('ICP-MS Total Metals'!H27),(AVERAGE('ICP-MS Total Metals'!H26:H28)),H$17)</f>
        <v>2509.7159790555129</v>
      </c>
      <c r="I26" s="46">
        <f>IF(ISNUMBER('ICP-MS Total Metals'!I27),(AVERAGE('ICP-MS Total Metals'!I26:I28)),I$17)</f>
        <v>60.626714953349904</v>
      </c>
      <c r="J26" s="46">
        <f>IF(ISNUMBER('ICP-MS Total Metals'!J27),(AVERAGE('ICP-MS Total Metals'!J26:J28)),J$17)</f>
        <v>620.27798812190554</v>
      </c>
      <c r="K26" s="139">
        <f>IF(ISNUMBER('ICP-MS Total Metals'!K27),(AVERAGE('ICP-MS Total Metals'!K26:K28)),K$17)</f>
        <v>360732.61648252769</v>
      </c>
      <c r="L26" s="46">
        <f>IF(ISNUMBER('ICP-MS Total Metals'!L27),(AVERAGE('ICP-MS Total Metals'!L26:L28)),L$17)</f>
        <v>44.781521849302614</v>
      </c>
      <c r="M26" s="46">
        <f>IF(ISNUMBER('ICP-MS Total Metals'!M27),(AVERAGE('ICP-MS Total Metals'!M26:M28)),M$17)</f>
        <v>471.47864210458152</v>
      </c>
      <c r="N26" s="46">
        <f>IF(ISNUMBER('ICP-MS Total Metals'!N27),(AVERAGE('ICP-MS Total Metals'!N26:N28)),N$17)</f>
        <v>5735.2903868914045</v>
      </c>
      <c r="O26" s="46">
        <f>IF(ISNUMBER('ICP-MS Total Metals'!O27),(AVERAGE('ICP-MS Total Metals'!O26:O28)),O$17)</f>
        <v>20333.966960644262</v>
      </c>
      <c r="P26" s="46">
        <f>IF(ISNUMBER('ICP-MS Total Metals'!P27),(AVERAGE('ICP-MS Total Metals'!P26:P28)),P$17)</f>
        <v>2229.8617925467984</v>
      </c>
      <c r="Q26" s="46">
        <f>IF(ISNUMBER('ICP-MS Total Metals'!Q27),(AVERAGE('ICP-MS Total Metals'!Q26:Q28)),Q$17)</f>
        <v>9252.3717201086056</v>
      </c>
      <c r="R26" s="46">
        <f>IF(ISNUMBER('ICP-MS Total Metals'!R27),(AVERAGE('ICP-MS Total Metals'!R26:R28)),R$17)</f>
        <v>2157.612662368856</v>
      </c>
      <c r="S26" s="46">
        <f>IF(ISNUMBER('ICP-MS Total Metals'!S27),(AVERAGE('ICP-MS Total Metals'!S26:S28)),S$17)</f>
        <v>472.68595512543351</v>
      </c>
      <c r="T26" s="46">
        <f>IF(ISNUMBER('ICP-MS Total Metals'!T27),(AVERAGE('ICP-MS Total Metals'!T26:T28)),T$17)</f>
        <v>2461.5898941510804</v>
      </c>
      <c r="U26" s="46">
        <f>IF(ISNUMBER('ICP-MS Total Metals'!U27),(AVERAGE('ICP-MS Total Metals'!U26:U28)),U$17)</f>
        <v>311.6055358767685</v>
      </c>
      <c r="V26" s="46">
        <f>IF(ISNUMBER('ICP-MS Total Metals'!V27),(AVERAGE('ICP-MS Total Metals'!V26:V28)),V$17)</f>
        <v>2027.0810305924526</v>
      </c>
      <c r="W26" s="46">
        <f>IF(ISNUMBER('ICP-MS Total Metals'!W27),(AVERAGE('ICP-MS Total Metals'!W26:W28)),W$17)</f>
        <v>421.00117747404892</v>
      </c>
      <c r="X26" s="46">
        <f>IF(ISNUMBER('ICP-MS Total Metals'!X27),(AVERAGE('ICP-MS Total Metals'!X26:X28)),X$17)</f>
        <v>1212.4529084562114</v>
      </c>
      <c r="Y26" s="46">
        <f>IF(ISNUMBER('ICP-MS Total Metals'!Y27),(AVERAGE('ICP-MS Total Metals'!Y26:Y28)),Y$17)</f>
        <v>165.79726673645624</v>
      </c>
      <c r="Z26" s="46">
        <f>IF(ISNUMBER('ICP-MS Total Metals'!Z27),(AVERAGE('ICP-MS Total Metals'!Z26:Z28)),Z$17)</f>
        <v>1006.4000351341678</v>
      </c>
      <c r="AA26" s="46">
        <f>IF(ISNUMBER('ICP-MS Total Metals'!AA27),(AVERAGE('ICP-MS Total Metals'!AA26:AA28)),AA$17)</f>
        <v>147.18631180974816</v>
      </c>
      <c r="AB26" s="46">
        <f>IF(ISNUMBER('ICP-MS Total Metals'!AB27),(AVERAGE('ICP-MS Total Metals'!AB26:AB28)),AB$17)</f>
        <v>117.03959472406319</v>
      </c>
      <c r="AC26" s="46">
        <f>IF(ISNUMBER('ICP-MS Total Metals'!AC27),(AVERAGE('ICP-MS Total Metals'!AC26:AC28)),AC$17)</f>
        <v>9.9333006953253324</v>
      </c>
      <c r="AD26" s="46">
        <f>IF(ISNUMBER('ICP-MS Total Metals'!AD27),(AVERAGE('ICP-MS Total Metals'!AD26:AD28)),AD$17)</f>
        <v>49.643895961236616</v>
      </c>
      <c r="AE26" s="46">
        <f>IF(ISNUMBER('ICP-MS Total Metals'!AE27),(AVERAGE('ICP-MS Total Metals'!AE26:AE28)),AE$17)</f>
        <v>503.57791920882164</v>
      </c>
      <c r="AF26" s="46">
        <f>IF(ISNUMBER('ICP-MS Total Metals'!AF27),(AVERAGE('ICP-MS Total Metals'!AF26:AF28)),AF$17)</f>
        <v>1669.4322999349185</v>
      </c>
      <c r="AG26" s="46">
        <f>IF(ISNUMBER('ICP-MS Total Metals'!AG27),(AVERAGE('ICP-MS Total Metals'!AG26:AG28)),AG$17)</f>
        <v>956.92318432198419</v>
      </c>
      <c r="AH26" s="46">
        <f>IF(ISNUMBER('ICP-MS Total Metals'!AH27),(AVERAGE('ICP-MS Total Metals'!AH26:AH28)),AH$17)</f>
        <v>0</v>
      </c>
      <c r="AI26" s="46">
        <f>IF(ISNUMBER('ICP-MS Total Metals'!AI27),(AVERAGE('ICP-MS Total Metals'!AI26:AI28)),AI$17)</f>
        <v>83.518815894247837</v>
      </c>
      <c r="AJ26" s="46">
        <f>IF(ISNUMBER('ICP-MS Total Metals'!AJ27),(AVERAGE('ICP-MS Total Metals'!AJ26:AJ28)),AJ$17)</f>
        <v>779.94414922330907</v>
      </c>
      <c r="AK26" s="46">
        <f>IF(ISNUMBER('ICP-MS Total Metals'!AK27),(AVERAGE('ICP-MS Total Metals'!AK26:AK28)),AK$17)</f>
        <v>0</v>
      </c>
      <c r="AL26" s="46">
        <f>IF(ISNUMBER('ICP-MS Total Metals'!AL27),(AVERAGE('ICP-MS Total Metals'!AL26:AL28)),AL$17)</f>
        <v>8996.735710465251</v>
      </c>
      <c r="AM26" s="46">
        <f>IF(ISNUMBER('ICP-MS Total Metals'!AM27),(AVERAGE('ICP-MS Total Metals'!AM26:AM28)),AM$17)</f>
        <v>0</v>
      </c>
      <c r="AN26" s="46">
        <f>IF(ISNUMBER('ICP-MS Total Metals'!AN27),(AVERAGE('ICP-MS Total Metals'!AN26:AN28)),AN$17)</f>
        <v>0</v>
      </c>
    </row>
    <row r="27" spans="1:40" s="22" customFormat="1" x14ac:dyDescent="0.25">
      <c r="A27" s="104" t="s">
        <v>194</v>
      </c>
      <c r="B27" s="45">
        <v>3</v>
      </c>
      <c r="C27" s="46">
        <f>IF(ISNUMBER('ICP-MS Total Metals'!C28),(AVERAGE('ICP-MS Total Metals'!C27:C29)),C$17)</f>
        <v>1658.0717234723272</v>
      </c>
      <c r="D27" s="46">
        <f>IF(ISNUMBER('ICP-MS Total Metals'!D28),(AVERAGE('ICP-MS Total Metals'!D27:D29)),D$17)</f>
        <v>924.95343036307747</v>
      </c>
      <c r="E27" s="46">
        <f>IF(ISNUMBER('ICP-MS Total Metals'!E28),(AVERAGE('ICP-MS Total Metals'!E27:E29)),E$17)</f>
        <v>2031.4651433767624</v>
      </c>
      <c r="F27" s="46">
        <f>IF(ISNUMBER('ICP-MS Total Metals'!F28),(AVERAGE('ICP-MS Total Metals'!F27:F29)),F$17)</f>
        <v>2795.2682773075926</v>
      </c>
      <c r="G27" s="46">
        <f>IF(ISNUMBER('ICP-MS Total Metals'!G28),(AVERAGE('ICP-MS Total Metals'!G27:G29)),G$17)</f>
        <v>10768.210990604799</v>
      </c>
      <c r="H27" s="46">
        <f>IF(ISNUMBER('ICP-MS Total Metals'!H28),(AVERAGE('ICP-MS Total Metals'!H27:H29)),H$17)</f>
        <v>2598.312221125911</v>
      </c>
      <c r="I27" s="46">
        <f>IF(ISNUMBER('ICP-MS Total Metals'!I28),(AVERAGE('ICP-MS Total Metals'!I27:I29)),I$17)</f>
        <v>64.441636417163167</v>
      </c>
      <c r="J27" s="46">
        <f>IF(ISNUMBER('ICP-MS Total Metals'!J28),(AVERAGE('ICP-MS Total Metals'!J27:J29)),J$17)</f>
        <v>615.20540808082956</v>
      </c>
      <c r="K27" s="139">
        <f>IF(ISNUMBER('ICP-MS Total Metals'!K28),(AVERAGE('ICP-MS Total Metals'!K27:K29)),K$17)</f>
        <v>246334.26337980528</v>
      </c>
      <c r="L27" s="46">
        <f>IF(ISNUMBER('ICP-MS Total Metals'!L28),(AVERAGE('ICP-MS Total Metals'!L27:L29)),L$17)</f>
        <v>43.396584830564393</v>
      </c>
      <c r="M27" s="46">
        <f>IF(ISNUMBER('ICP-MS Total Metals'!M28),(AVERAGE('ICP-MS Total Metals'!M27:M29)),M$17)</f>
        <v>474.50377525399364</v>
      </c>
      <c r="N27" s="46">
        <f>IF(ISNUMBER('ICP-MS Total Metals'!N28),(AVERAGE('ICP-MS Total Metals'!N27:N29)),N$17)</f>
        <v>5472.2879166757475</v>
      </c>
      <c r="O27" s="46">
        <f>IF(ISNUMBER('ICP-MS Total Metals'!O28),(AVERAGE('ICP-MS Total Metals'!O27:O29)),O$17)</f>
        <v>19782.927230455429</v>
      </c>
      <c r="P27" s="46">
        <f>IF(ISNUMBER('ICP-MS Total Metals'!P28),(AVERAGE('ICP-MS Total Metals'!P27:P29)),P$17)</f>
        <v>2181.2477613829819</v>
      </c>
      <c r="Q27" s="46">
        <f>IF(ISNUMBER('ICP-MS Total Metals'!Q28),(AVERAGE('ICP-MS Total Metals'!Q27:Q29)),Q$17)</f>
        <v>9134.4237438943564</v>
      </c>
      <c r="R27" s="46">
        <f>IF(ISNUMBER('ICP-MS Total Metals'!R28),(AVERAGE('ICP-MS Total Metals'!R27:R29)),R$17)</f>
        <v>2125.6676344303655</v>
      </c>
      <c r="S27" s="46">
        <f>IF(ISNUMBER('ICP-MS Total Metals'!S28),(AVERAGE('ICP-MS Total Metals'!S27:S29)),S$17)</f>
        <v>475.40114348543921</v>
      </c>
      <c r="T27" s="46">
        <f>IF(ISNUMBER('ICP-MS Total Metals'!T28),(AVERAGE('ICP-MS Total Metals'!T27:T29)),T$17)</f>
        <v>2436.0981232840618</v>
      </c>
      <c r="U27" s="46">
        <f>IF(ISNUMBER('ICP-MS Total Metals'!U28),(AVERAGE('ICP-MS Total Metals'!U27:U29)),U$17)</f>
        <v>305.3463802256129</v>
      </c>
      <c r="V27" s="46">
        <f>IF(ISNUMBER('ICP-MS Total Metals'!V28),(AVERAGE('ICP-MS Total Metals'!V27:V29)),V$17)</f>
        <v>2035.408351965667</v>
      </c>
      <c r="W27" s="46">
        <f>IF(ISNUMBER('ICP-MS Total Metals'!W28),(AVERAGE('ICP-MS Total Metals'!W27:W29)),W$17)</f>
        <v>421.0056731191371</v>
      </c>
      <c r="X27" s="46">
        <f>IF(ISNUMBER('ICP-MS Total Metals'!X28),(AVERAGE('ICP-MS Total Metals'!X27:X29)),X$17)</f>
        <v>1227.776020116951</v>
      </c>
      <c r="Y27" s="46">
        <f>IF(ISNUMBER('ICP-MS Total Metals'!Y28),(AVERAGE('ICP-MS Total Metals'!Y27:Y29)),Y$17)</f>
        <v>166.43401549662519</v>
      </c>
      <c r="Z27" s="46">
        <f>IF(ISNUMBER('ICP-MS Total Metals'!Z28),(AVERAGE('ICP-MS Total Metals'!Z27:Z29)),Z$17)</f>
        <v>1013.7235266406474</v>
      </c>
      <c r="AA27" s="46">
        <f>IF(ISNUMBER('ICP-MS Total Metals'!AA28),(AVERAGE('ICP-MS Total Metals'!AA27:AA29)),AA$17)</f>
        <v>148.11950665513959</v>
      </c>
      <c r="AB27" s="46">
        <f>IF(ISNUMBER('ICP-MS Total Metals'!AB28),(AVERAGE('ICP-MS Total Metals'!AB27:AB29)),AB$17)</f>
        <v>122.88095347055719</v>
      </c>
      <c r="AC27" s="46">
        <f>IF(ISNUMBER('ICP-MS Total Metals'!AC28),(AVERAGE('ICP-MS Total Metals'!AC27:AC29)),AC$17)</f>
        <v>9.0842858438209166</v>
      </c>
      <c r="AD27" s="46">
        <f>IF(ISNUMBER('ICP-MS Total Metals'!AD28),(AVERAGE('ICP-MS Total Metals'!AD27:AD29)),AD$17)</f>
        <v>40.817751109349537</v>
      </c>
      <c r="AE27" s="46">
        <f>IF(ISNUMBER('ICP-MS Total Metals'!AE28),(AVERAGE('ICP-MS Total Metals'!AE27:AE29)),AE$17)</f>
        <v>550.82142741905352</v>
      </c>
      <c r="AF27" s="46">
        <f>IF(ISNUMBER('ICP-MS Total Metals'!AF28),(AVERAGE('ICP-MS Total Metals'!AF27:AF29)),AF$17)</f>
        <v>1682.1248960172161</v>
      </c>
      <c r="AG27" s="46">
        <f>IF(ISNUMBER('ICP-MS Total Metals'!AG28),(AVERAGE('ICP-MS Total Metals'!AG27:AG29)),AG$17)</f>
        <v>993.78979208896635</v>
      </c>
      <c r="AH27" s="46">
        <f>IF(ISNUMBER('ICP-MS Total Metals'!AH28),(AVERAGE('ICP-MS Total Metals'!AH27:AH29)),AH$17)</f>
        <v>0</v>
      </c>
      <c r="AI27" s="46">
        <f>IF(ISNUMBER('ICP-MS Total Metals'!AI28),(AVERAGE('ICP-MS Total Metals'!AI27:AI29)),AI$17)</f>
        <v>92.016450829865789</v>
      </c>
      <c r="AJ27" s="46">
        <f>IF(ISNUMBER('ICP-MS Total Metals'!AJ28),(AVERAGE('ICP-MS Total Metals'!AJ27:AJ29)),AJ$17)</f>
        <v>837.81837786713993</v>
      </c>
      <c r="AK27" s="46">
        <f>IF(ISNUMBER('ICP-MS Total Metals'!AK28),(AVERAGE('ICP-MS Total Metals'!AK27:AK29)),AK$17)</f>
        <v>0</v>
      </c>
      <c r="AL27" s="46">
        <f>IF(ISNUMBER('ICP-MS Total Metals'!AL28),(AVERAGE('ICP-MS Total Metals'!AL27:AL29)),AL$17)</f>
        <v>2510.695109061272</v>
      </c>
      <c r="AM27" s="46">
        <f>IF(ISNUMBER('ICP-MS Total Metals'!AM28),(AVERAGE('ICP-MS Total Metals'!AM27:AM29)),AM$17)</f>
        <v>0</v>
      </c>
      <c r="AN27" s="46">
        <f>IF(ISNUMBER('ICP-MS Total Metals'!AN28),(AVERAGE('ICP-MS Total Metals'!AN27:AN29)),AN$17)</f>
        <v>0</v>
      </c>
    </row>
    <row r="28" spans="1:40" s="22" customFormat="1" x14ac:dyDescent="0.25">
      <c r="A28" s="104" t="s">
        <v>195</v>
      </c>
      <c r="B28" s="45">
        <v>3</v>
      </c>
      <c r="C28" s="46">
        <f>IF(ISNUMBER('ICP-MS Total Metals'!C29),(AVERAGE('ICP-MS Total Metals'!C28:C30)),C$17)</f>
        <v>1543.6935822800108</v>
      </c>
      <c r="D28" s="46">
        <f>IF(ISNUMBER('ICP-MS Total Metals'!D29),(AVERAGE('ICP-MS Total Metals'!D28:D30)),D$17)</f>
        <v>764.123485901653</v>
      </c>
      <c r="E28" s="46">
        <f>IF(ISNUMBER('ICP-MS Total Metals'!E29),(AVERAGE('ICP-MS Total Metals'!E28:E30)),E$17)</f>
        <v>1920.6803139437372</v>
      </c>
      <c r="F28" s="46">
        <f>IF(ISNUMBER('ICP-MS Total Metals'!F29),(AVERAGE('ICP-MS Total Metals'!F28:F30)),F$17)</f>
        <v>2271.2659225224138</v>
      </c>
      <c r="G28" s="46">
        <f>IF(ISNUMBER('ICP-MS Total Metals'!G29),(AVERAGE('ICP-MS Total Metals'!G28:G30)),G$17)</f>
        <v>10527.495538983005</v>
      </c>
      <c r="H28" s="46">
        <f>IF(ISNUMBER('ICP-MS Total Metals'!H29),(AVERAGE('ICP-MS Total Metals'!H28:H30)),H$17)</f>
        <v>2438.5981584407054</v>
      </c>
      <c r="I28" s="46">
        <f>IF(ISNUMBER('ICP-MS Total Metals'!I29),(AVERAGE('ICP-MS Total Metals'!I28:I30)),I$17)</f>
        <v>65.676890059527409</v>
      </c>
      <c r="J28" s="46">
        <f>IF(ISNUMBER('ICP-MS Total Metals'!J29),(AVERAGE('ICP-MS Total Metals'!J28:J30)),J$17)</f>
        <v>570.15816867293245</v>
      </c>
      <c r="K28" s="139">
        <f>IF(ISNUMBER('ICP-MS Total Metals'!K29),(AVERAGE('ICP-MS Total Metals'!K28:K30)),K$17)</f>
        <v>657735.8553547794</v>
      </c>
      <c r="L28" s="46">
        <f>IF(ISNUMBER('ICP-MS Total Metals'!L29),(AVERAGE('ICP-MS Total Metals'!L28:L30)),L$17)</f>
        <v>39.882077799018184</v>
      </c>
      <c r="M28" s="46">
        <f>IF(ISNUMBER('ICP-MS Total Metals'!M29),(AVERAGE('ICP-MS Total Metals'!M28:M30)),M$17)</f>
        <v>423.37743955323572</v>
      </c>
      <c r="N28" s="46">
        <f>IF(ISNUMBER('ICP-MS Total Metals'!N29),(AVERAGE('ICP-MS Total Metals'!N28:N30)),N$17)</f>
        <v>5407.1818596912153</v>
      </c>
      <c r="O28" s="46">
        <f>IF(ISNUMBER('ICP-MS Total Metals'!O29),(AVERAGE('ICP-MS Total Metals'!O28:O30)),O$17)</f>
        <v>19637.97388824579</v>
      </c>
      <c r="P28" s="46">
        <f>IF(ISNUMBER('ICP-MS Total Metals'!P29),(AVERAGE('ICP-MS Total Metals'!P28:P30)),P$17)</f>
        <v>2122.4425618454052</v>
      </c>
      <c r="Q28" s="46">
        <f>IF(ISNUMBER('ICP-MS Total Metals'!Q29),(AVERAGE('ICP-MS Total Metals'!Q28:Q30)),Q$17)</f>
        <v>8841.5835754275686</v>
      </c>
      <c r="R28" s="46">
        <f>IF(ISNUMBER('ICP-MS Total Metals'!R29),(AVERAGE('ICP-MS Total Metals'!R28:R30)),R$17)</f>
        <v>2049.3981171739483</v>
      </c>
      <c r="S28" s="46">
        <f>IF(ISNUMBER('ICP-MS Total Metals'!S29),(AVERAGE('ICP-MS Total Metals'!S28:S30)),S$17)</f>
        <v>448.13821496557648</v>
      </c>
      <c r="T28" s="46">
        <f>IF(ISNUMBER('ICP-MS Total Metals'!T29),(AVERAGE('ICP-MS Total Metals'!T28:T30)),T$17)</f>
        <v>2359.3976856356262</v>
      </c>
      <c r="U28" s="46">
        <f>IF(ISNUMBER('ICP-MS Total Metals'!U29),(AVERAGE('ICP-MS Total Metals'!U28:U30)),U$17)</f>
        <v>297.43541910913939</v>
      </c>
      <c r="V28" s="46">
        <f>IF(ISNUMBER('ICP-MS Total Metals'!V29),(AVERAGE('ICP-MS Total Metals'!V28:V30)),V$17)</f>
        <v>1991.6040499384774</v>
      </c>
      <c r="W28" s="46">
        <f>IF(ISNUMBER('ICP-MS Total Metals'!W29),(AVERAGE('ICP-MS Total Metals'!W28:W30)),W$17)</f>
        <v>411.94087083181756</v>
      </c>
      <c r="X28" s="46">
        <f>IF(ISNUMBER('ICP-MS Total Metals'!X29),(AVERAGE('ICP-MS Total Metals'!X28:X30)),X$17)</f>
        <v>1188.104387896657</v>
      </c>
      <c r="Y28" s="46">
        <f>IF(ISNUMBER('ICP-MS Total Metals'!Y29),(AVERAGE('ICP-MS Total Metals'!Y28:Y30)),Y$17)</f>
        <v>162.97372510688268</v>
      </c>
      <c r="Z28" s="46">
        <f>IF(ISNUMBER('ICP-MS Total Metals'!Z29),(AVERAGE('ICP-MS Total Metals'!Z28:Z30)),Z$17)</f>
        <v>997.53667959211816</v>
      </c>
      <c r="AA28" s="46">
        <f>IF(ISNUMBER('ICP-MS Total Metals'!AA29),(AVERAGE('ICP-MS Total Metals'!AA28:AA30)),AA$17)</f>
        <v>143.6560687494385</v>
      </c>
      <c r="AB28" s="46">
        <f>IF(ISNUMBER('ICP-MS Total Metals'!AB29),(AVERAGE('ICP-MS Total Metals'!AB28:AB30)),AB$17)</f>
        <v>117.20744495978886</v>
      </c>
      <c r="AC28" s="46">
        <f>IF(ISNUMBER('ICP-MS Total Metals'!AC29),(AVERAGE('ICP-MS Total Metals'!AC28:AC30)),AC$17)</f>
        <v>8.7823516719670618</v>
      </c>
      <c r="AD28" s="46">
        <f>IF(ISNUMBER('ICP-MS Total Metals'!AD29),(AVERAGE('ICP-MS Total Metals'!AD28:AD30)),AD$17)</f>
        <v>42.160964539308672</v>
      </c>
      <c r="AE28" s="46">
        <f>IF(ISNUMBER('ICP-MS Total Metals'!AE29),(AVERAGE('ICP-MS Total Metals'!AE28:AE30)),AE$17)</f>
        <v>541.02548382243856</v>
      </c>
      <c r="AF28" s="46">
        <f>IF(ISNUMBER('ICP-MS Total Metals'!AF29),(AVERAGE('ICP-MS Total Metals'!AF28:AF30)),AF$17)</f>
        <v>1673.3216312322593</v>
      </c>
      <c r="AG28" s="46">
        <f>IF(ISNUMBER('ICP-MS Total Metals'!AG29),(AVERAGE('ICP-MS Total Metals'!AG28:AG30)),AG$17)</f>
        <v>950.89963766795518</v>
      </c>
      <c r="AH28" s="46">
        <f>IF(ISNUMBER('ICP-MS Total Metals'!AH29),(AVERAGE('ICP-MS Total Metals'!AH28:AH30)),AH$17)</f>
        <v>0</v>
      </c>
      <c r="AI28" s="46">
        <f>IF(ISNUMBER('ICP-MS Total Metals'!AI29),(AVERAGE('ICP-MS Total Metals'!AI28:AI30)),AI$17)</f>
        <v>93.706289400159065</v>
      </c>
      <c r="AJ28" s="46">
        <f>IF(ISNUMBER('ICP-MS Total Metals'!AJ29),(AVERAGE('ICP-MS Total Metals'!AJ28:AJ30)),AJ$17)</f>
        <v>847.32905749169311</v>
      </c>
      <c r="AK28" s="46">
        <f>IF(ISNUMBER('ICP-MS Total Metals'!AK29),(AVERAGE('ICP-MS Total Metals'!AK28:AK30)),AK$17)</f>
        <v>0</v>
      </c>
      <c r="AL28" s="46">
        <f>IF(ISNUMBER('ICP-MS Total Metals'!AL29),(AVERAGE('ICP-MS Total Metals'!AL28:AL30)),AL$17)</f>
        <v>4363.6818085260647</v>
      </c>
      <c r="AM28" s="46">
        <f>IF(ISNUMBER('ICP-MS Total Metals'!AM29),(AVERAGE('ICP-MS Total Metals'!AM28:AM30)),AM$17)</f>
        <v>0</v>
      </c>
      <c r="AN28" s="46">
        <f>IF(ISNUMBER('ICP-MS Total Metals'!AN29),(AVERAGE('ICP-MS Total Metals'!AN28:AN30)),AN$17)</f>
        <v>0</v>
      </c>
    </row>
    <row r="29" spans="1:40" s="22" customFormat="1" x14ac:dyDescent="0.25">
      <c r="A29" s="104" t="s">
        <v>196</v>
      </c>
      <c r="B29" s="45">
        <v>3</v>
      </c>
      <c r="C29" s="46">
        <f>IF(ISNUMBER('ICP-MS Total Metals'!C30),(AVERAGE('ICP-MS Total Metals'!C29:C31)),C$17)</f>
        <v>1516.9691856708978</v>
      </c>
      <c r="D29" s="46">
        <f>IF(ISNUMBER('ICP-MS Total Metals'!D30),(AVERAGE('ICP-MS Total Metals'!D29:D31)),D$17)</f>
        <v>716.08456182373322</v>
      </c>
      <c r="E29" s="46">
        <f>IF(ISNUMBER('ICP-MS Total Metals'!E30),(AVERAGE('ICP-MS Total Metals'!E29:E31)),E$17)</f>
        <v>1804.7005140329354</v>
      </c>
      <c r="F29" s="46">
        <f>IF(ISNUMBER('ICP-MS Total Metals'!F30),(AVERAGE('ICP-MS Total Metals'!F29:F31)),F$17)</f>
        <v>2021.076176986463</v>
      </c>
      <c r="G29" s="46">
        <f>IF(ISNUMBER('ICP-MS Total Metals'!G30),(AVERAGE('ICP-MS Total Metals'!G29:G31)),G$17)</f>
        <v>10593.642428553489</v>
      </c>
      <c r="H29" s="46">
        <f>IF(ISNUMBER('ICP-MS Total Metals'!H30),(AVERAGE('ICP-MS Total Metals'!H29:H31)),H$17)</f>
        <v>2369.2533558858258</v>
      </c>
      <c r="I29" s="46">
        <f>IF(ISNUMBER('ICP-MS Total Metals'!I30),(AVERAGE('ICP-MS Total Metals'!I29:I31)),I$17)</f>
        <v>69.520223490846959</v>
      </c>
      <c r="J29" s="46">
        <f>IF(ISNUMBER('ICP-MS Total Metals'!J30),(AVERAGE('ICP-MS Total Metals'!J29:J31)),J$17)</f>
        <v>571.1316854322331</v>
      </c>
      <c r="K29" s="139">
        <f>IF(ISNUMBER('ICP-MS Total Metals'!K30),(AVERAGE('ICP-MS Total Metals'!K29:K31)),K$17)</f>
        <v>827957.55403539864</v>
      </c>
      <c r="L29" s="46">
        <f>IF(ISNUMBER('ICP-MS Total Metals'!L30),(AVERAGE('ICP-MS Total Metals'!L29:L31)),L$17)</f>
        <v>41.073308031349761</v>
      </c>
      <c r="M29" s="46">
        <f>IF(ISNUMBER('ICP-MS Total Metals'!M30),(AVERAGE('ICP-MS Total Metals'!M29:M31)),M$17)</f>
        <v>398.1559793532345</v>
      </c>
      <c r="N29" s="46">
        <f>IF(ISNUMBER('ICP-MS Total Metals'!N30),(AVERAGE('ICP-MS Total Metals'!N29:N31)),N$17)</f>
        <v>5485.0374996374985</v>
      </c>
      <c r="O29" s="46">
        <f>IF(ISNUMBER('ICP-MS Total Metals'!O30),(AVERAGE('ICP-MS Total Metals'!O29:O31)),O$17)</f>
        <v>19683.854224216018</v>
      </c>
      <c r="P29" s="46">
        <f>IF(ISNUMBER('ICP-MS Total Metals'!P30),(AVERAGE('ICP-MS Total Metals'!P29:P31)),P$17)</f>
        <v>2094.0723011689956</v>
      </c>
      <c r="Q29" s="46">
        <f>IF(ISNUMBER('ICP-MS Total Metals'!Q30),(AVERAGE('ICP-MS Total Metals'!Q29:Q31)),Q$17)</f>
        <v>8672.4033141542186</v>
      </c>
      <c r="R29" s="46">
        <f>IF(ISNUMBER('ICP-MS Total Metals'!R30),(AVERAGE('ICP-MS Total Metals'!R29:R31)),R$17)</f>
        <v>2028.848258275634</v>
      </c>
      <c r="S29" s="46">
        <f>IF(ISNUMBER('ICP-MS Total Metals'!S30),(AVERAGE('ICP-MS Total Metals'!S29:S31)),S$17)</f>
        <v>426.32278605281755</v>
      </c>
      <c r="T29" s="46">
        <f>IF(ISNUMBER('ICP-MS Total Metals'!T30),(AVERAGE('ICP-MS Total Metals'!T29:T31)),T$17)</f>
        <v>2344.7693810007017</v>
      </c>
      <c r="U29" s="46">
        <f>IF(ISNUMBER('ICP-MS Total Metals'!U30),(AVERAGE('ICP-MS Total Metals'!U29:U31)),U$17)</f>
        <v>298.29857288355839</v>
      </c>
      <c r="V29" s="46">
        <f>IF(ISNUMBER('ICP-MS Total Metals'!V30),(AVERAGE('ICP-MS Total Metals'!V29:V31)),V$17)</f>
        <v>2004.3458264032897</v>
      </c>
      <c r="W29" s="46">
        <f>IF(ISNUMBER('ICP-MS Total Metals'!W30),(AVERAGE('ICP-MS Total Metals'!W29:W31)),W$17)</f>
        <v>415.28825617809667</v>
      </c>
      <c r="X29" s="46">
        <f>IF(ISNUMBER('ICP-MS Total Metals'!X30),(AVERAGE('ICP-MS Total Metals'!X29:X31)),X$17)</f>
        <v>1213.2900077451279</v>
      </c>
      <c r="Y29" s="46">
        <f>IF(ISNUMBER('ICP-MS Total Metals'!Y30),(AVERAGE('ICP-MS Total Metals'!Y29:Y31)),Y$17)</f>
        <v>167.82612626380535</v>
      </c>
      <c r="Z29" s="46">
        <f>IF(ISNUMBER('ICP-MS Total Metals'!Z30),(AVERAGE('ICP-MS Total Metals'!Z29:Z31)),Z$17)</f>
        <v>1021.3076529925937</v>
      </c>
      <c r="AA29" s="46">
        <f>IF(ISNUMBER('ICP-MS Total Metals'!AA30),(AVERAGE('ICP-MS Total Metals'!AA29:AA31)),AA$17)</f>
        <v>148.18785926032189</v>
      </c>
      <c r="AB29" s="46">
        <f>IF(ISNUMBER('ICP-MS Total Metals'!AB30),(AVERAGE('ICP-MS Total Metals'!AB29:AB31)),AB$17)</f>
        <v>115.46373023909543</v>
      </c>
      <c r="AC29" s="46">
        <f>IF(ISNUMBER('ICP-MS Total Metals'!AC30),(AVERAGE('ICP-MS Total Metals'!AC29:AC31)),AC$17)</f>
        <v>10.422747316808165</v>
      </c>
      <c r="AD29" s="46">
        <f>IF(ISNUMBER('ICP-MS Total Metals'!AD30),(AVERAGE('ICP-MS Total Metals'!AD29:AD31)),AD$17)</f>
        <v>49.400100107665516</v>
      </c>
      <c r="AE29" s="46">
        <f>IF(ISNUMBER('ICP-MS Total Metals'!AE30),(AVERAGE('ICP-MS Total Metals'!AE29:AE31)),AE$17)</f>
        <v>454.66867417691191</v>
      </c>
      <c r="AF29" s="46">
        <f>IF(ISNUMBER('ICP-MS Total Metals'!AF30),(AVERAGE('ICP-MS Total Metals'!AF29:AF31)),AF$17)</f>
        <v>1667.1407100317981</v>
      </c>
      <c r="AG29" s="46">
        <f>IF(ISNUMBER('ICP-MS Total Metals'!AG30),(AVERAGE('ICP-MS Total Metals'!AG29:AG31)),AG$17)</f>
        <v>880.14713719645169</v>
      </c>
      <c r="AH29" s="46">
        <f>IF(ISNUMBER('ICP-MS Total Metals'!AH30),(AVERAGE('ICP-MS Total Metals'!AH29:AH31)),AH$17)</f>
        <v>0</v>
      </c>
      <c r="AI29" s="46">
        <f>IF(ISNUMBER('ICP-MS Total Metals'!AI30),(AVERAGE('ICP-MS Total Metals'!AI29:AI31)),AI$17)</f>
        <v>95.442308963284759</v>
      </c>
      <c r="AJ29" s="46">
        <f>IF(ISNUMBER('ICP-MS Total Metals'!AJ30),(AVERAGE('ICP-MS Total Metals'!AJ29:AJ31)),AJ$17)</f>
        <v>854.51322726983472</v>
      </c>
      <c r="AK29" s="46">
        <f>IF(ISNUMBER('ICP-MS Total Metals'!AK30),(AVERAGE('ICP-MS Total Metals'!AK29:AK31)),AK$17)</f>
        <v>60.586660716206431</v>
      </c>
      <c r="AL29" s="46">
        <f>IF(ISNUMBER('ICP-MS Total Metals'!AL30),(AVERAGE('ICP-MS Total Metals'!AL29:AL31)),AL$17)</f>
        <v>5675.9452612189489</v>
      </c>
      <c r="AM29" s="46">
        <f>IF(ISNUMBER('ICP-MS Total Metals'!AM30),(AVERAGE('ICP-MS Total Metals'!AM29:AM31)),AM$17)</f>
        <v>0</v>
      </c>
      <c r="AN29" s="46">
        <f>IF(ISNUMBER('ICP-MS Total Metals'!AN30),(AVERAGE('ICP-MS Total Metals'!AN29:AN31)),AN$17)</f>
        <v>0</v>
      </c>
    </row>
    <row r="30" spans="1:40" x14ac:dyDescent="0.25">
      <c r="A30" s="26"/>
      <c r="B30" s="26"/>
      <c r="C30" s="4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40" ht="15.75" thickBot="1" x14ac:dyDescent="0.3">
      <c r="A31" s="26"/>
      <c r="B31" s="2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</row>
    <row r="32" spans="1:40" s="33" customFormat="1" x14ac:dyDescent="0.25">
      <c r="A32" s="124"/>
      <c r="B32" s="125"/>
      <c r="C32" s="130" t="s">
        <v>130</v>
      </c>
      <c r="D32" s="130" t="s">
        <v>131</v>
      </c>
      <c r="E32" s="130" t="s">
        <v>132</v>
      </c>
      <c r="F32" s="130" t="s">
        <v>133</v>
      </c>
      <c r="G32" s="130" t="s">
        <v>134</v>
      </c>
      <c r="H32" s="130" t="s">
        <v>135</v>
      </c>
      <c r="I32" s="130" t="s">
        <v>136</v>
      </c>
      <c r="J32" s="130" t="s">
        <v>137</v>
      </c>
      <c r="K32" s="130" t="s">
        <v>138</v>
      </c>
      <c r="L32" s="130" t="s">
        <v>139</v>
      </c>
      <c r="M32" s="130" t="s">
        <v>140</v>
      </c>
      <c r="N32" s="130" t="s">
        <v>141</v>
      </c>
      <c r="O32" s="130" t="s">
        <v>142</v>
      </c>
      <c r="P32" s="130" t="s">
        <v>143</v>
      </c>
      <c r="Q32" s="130" t="s">
        <v>144</v>
      </c>
      <c r="R32" s="130" t="s">
        <v>145</v>
      </c>
      <c r="S32" s="130" t="s">
        <v>146</v>
      </c>
      <c r="T32" s="130" t="s">
        <v>147</v>
      </c>
      <c r="U32" s="130" t="s">
        <v>148</v>
      </c>
      <c r="V32" s="130" t="s">
        <v>149</v>
      </c>
      <c r="W32" s="130" t="s">
        <v>150</v>
      </c>
      <c r="X32" s="130" t="s">
        <v>151</v>
      </c>
      <c r="Y32" s="130" t="s">
        <v>152</v>
      </c>
      <c r="Z32" s="130" t="s">
        <v>153</v>
      </c>
      <c r="AA32" s="130" t="s">
        <v>154</v>
      </c>
      <c r="AB32" s="130" t="s">
        <v>155</v>
      </c>
      <c r="AC32" s="130" t="s">
        <v>156</v>
      </c>
      <c r="AD32" s="130" t="s">
        <v>157</v>
      </c>
      <c r="AE32" s="130" t="s">
        <v>158</v>
      </c>
      <c r="AF32" s="130" t="s">
        <v>159</v>
      </c>
      <c r="AG32" s="130" t="s">
        <v>160</v>
      </c>
      <c r="AH32" s="143" t="s">
        <v>184</v>
      </c>
      <c r="AI32" s="143" t="s">
        <v>185</v>
      </c>
      <c r="AJ32" s="143" t="s">
        <v>186</v>
      </c>
      <c r="AK32" s="143" t="s">
        <v>187</v>
      </c>
      <c r="AL32" s="143" t="s">
        <v>188</v>
      </c>
      <c r="AM32" s="143" t="s">
        <v>189</v>
      </c>
      <c r="AN32" s="143" t="s">
        <v>190</v>
      </c>
    </row>
    <row r="33" spans="1:40" s="2" customFormat="1" ht="15.75" thickBot="1" x14ac:dyDescent="0.3">
      <c r="C33" s="131" t="s">
        <v>22</v>
      </c>
      <c r="D33" s="131" t="s">
        <v>22</v>
      </c>
      <c r="E33" s="131" t="s">
        <v>22</v>
      </c>
      <c r="F33" s="131" t="s">
        <v>22</v>
      </c>
      <c r="G33" s="131" t="s">
        <v>22</v>
      </c>
      <c r="H33" s="131" t="s">
        <v>22</v>
      </c>
      <c r="I33" s="131" t="s">
        <v>22</v>
      </c>
      <c r="J33" s="131" t="s">
        <v>22</v>
      </c>
      <c r="K33" s="131" t="s">
        <v>22</v>
      </c>
      <c r="L33" s="131" t="s">
        <v>22</v>
      </c>
      <c r="M33" s="131" t="s">
        <v>22</v>
      </c>
      <c r="N33" s="131" t="s">
        <v>22</v>
      </c>
      <c r="O33" s="131" t="s">
        <v>22</v>
      </c>
      <c r="P33" s="131" t="s">
        <v>22</v>
      </c>
      <c r="Q33" s="131" t="s">
        <v>22</v>
      </c>
      <c r="R33" s="131" t="s">
        <v>22</v>
      </c>
      <c r="S33" s="131" t="s">
        <v>22</v>
      </c>
      <c r="T33" s="131" t="s">
        <v>22</v>
      </c>
      <c r="U33" s="131" t="s">
        <v>22</v>
      </c>
      <c r="V33" s="131" t="s">
        <v>22</v>
      </c>
      <c r="W33" s="131" t="s">
        <v>22</v>
      </c>
      <c r="X33" s="131" t="s">
        <v>22</v>
      </c>
      <c r="Y33" s="131" t="s">
        <v>22</v>
      </c>
      <c r="Z33" s="131" t="s">
        <v>22</v>
      </c>
      <c r="AA33" s="131" t="s">
        <v>22</v>
      </c>
      <c r="AB33" s="131" t="s">
        <v>22</v>
      </c>
      <c r="AC33" s="131" t="s">
        <v>22</v>
      </c>
      <c r="AD33" s="131" t="s">
        <v>22</v>
      </c>
      <c r="AE33" s="131" t="s">
        <v>22</v>
      </c>
      <c r="AF33" s="131" t="s">
        <v>22</v>
      </c>
      <c r="AG33" s="131" t="s">
        <v>22</v>
      </c>
      <c r="AH33" s="131" t="s">
        <v>22</v>
      </c>
      <c r="AI33" s="131" t="s">
        <v>22</v>
      </c>
      <c r="AJ33" s="131" t="s">
        <v>22</v>
      </c>
      <c r="AK33" s="131" t="s">
        <v>22</v>
      </c>
      <c r="AL33" s="131" t="s">
        <v>22</v>
      </c>
      <c r="AM33" s="131" t="s">
        <v>22</v>
      </c>
      <c r="AN33" s="131" t="s">
        <v>22</v>
      </c>
    </row>
    <row r="34" spans="1:40" s="137" customFormat="1" x14ac:dyDescent="0.25">
      <c r="A34" s="132" t="s">
        <v>191</v>
      </c>
      <c r="B34" s="138">
        <v>3</v>
      </c>
      <c r="C34" s="123">
        <f>C24/1000</f>
        <v>1.4826783667028021</v>
      </c>
      <c r="D34" s="123">
        <f t="shared" ref="D34:AG39" si="4">D24/1000</f>
        <v>0.67975061679340265</v>
      </c>
      <c r="E34" s="123">
        <f t="shared" si="4"/>
        <v>1.6691972966530493</v>
      </c>
      <c r="F34" s="123">
        <f t="shared" si="4"/>
        <v>1.8284302257106473</v>
      </c>
      <c r="G34" s="123">
        <f t="shared" si="4"/>
        <v>10.434599579479009</v>
      </c>
      <c r="H34" s="123">
        <f t="shared" si="4"/>
        <v>2.106076433799184</v>
      </c>
      <c r="I34" s="123">
        <f t="shared" si="4"/>
        <v>7.6842135067869882E-2</v>
      </c>
      <c r="J34" s="123">
        <f t="shared" si="4"/>
        <v>0.91460809855227665</v>
      </c>
      <c r="K34" s="140">
        <f t="shared" si="4"/>
        <v>277.04273639153814</v>
      </c>
      <c r="L34" s="123">
        <f t="shared" si="4"/>
        <v>9.2929032210279885E-2</v>
      </c>
      <c r="M34" s="123">
        <f t="shared" si="4"/>
        <v>0.45308088544763103</v>
      </c>
      <c r="N34" s="123">
        <f t="shared" si="4"/>
        <v>5.8697715376766366</v>
      </c>
      <c r="O34" s="123">
        <f t="shared" si="4"/>
        <v>20.510456615023823</v>
      </c>
      <c r="P34" s="123">
        <f t="shared" si="4"/>
        <v>2.1908203525419143</v>
      </c>
      <c r="Q34" s="123">
        <f t="shared" si="4"/>
        <v>9.009484170638876</v>
      </c>
      <c r="R34" s="123">
        <f t="shared" si="4"/>
        <v>2.0694687428325826</v>
      </c>
      <c r="S34" s="123">
        <f t="shared" si="4"/>
        <v>0.4383657302391113</v>
      </c>
      <c r="T34" s="123">
        <f t="shared" si="4"/>
        <v>2.3785182569541887</v>
      </c>
      <c r="U34" s="123">
        <f t="shared" si="4"/>
        <v>0.29030486919245352</v>
      </c>
      <c r="V34" s="123">
        <f t="shared" si="4"/>
        <v>1.9080184042762129</v>
      </c>
      <c r="W34" s="123">
        <f t="shared" si="4"/>
        <v>0.39809319631391821</v>
      </c>
      <c r="X34" s="123">
        <f t="shared" si="4"/>
        <v>1.1363472006182946</v>
      </c>
      <c r="Y34" s="123">
        <f t="shared" si="4"/>
        <v>0.15343656388200391</v>
      </c>
      <c r="Z34" s="123">
        <f t="shared" si="4"/>
        <v>0.95872469076390376</v>
      </c>
      <c r="AA34" s="123">
        <f t="shared" si="4"/>
        <v>0.13636342273455759</v>
      </c>
      <c r="AB34" s="123">
        <f t="shared" si="4"/>
        <v>0.10668435061505295</v>
      </c>
      <c r="AC34" s="123">
        <f t="shared" si="4"/>
        <v>1.4891660570207939E-2</v>
      </c>
      <c r="AD34" s="123">
        <f t="shared" si="4"/>
        <v>5.9277961628301915E-2</v>
      </c>
      <c r="AE34" s="123">
        <f t="shared" si="4"/>
        <v>0.76420632984532821</v>
      </c>
      <c r="AF34" s="123">
        <f t="shared" si="4"/>
        <v>1.4941087440651637</v>
      </c>
      <c r="AG34" s="123">
        <f t="shared" si="4"/>
        <v>0.79801219282613478</v>
      </c>
      <c r="AH34" s="123">
        <f t="shared" ref="AH34:AN34" si="5">AH24/1000</f>
        <v>0</v>
      </c>
      <c r="AI34" s="123">
        <f t="shared" si="5"/>
        <v>2.7535182015235225E-2</v>
      </c>
      <c r="AJ34" s="123">
        <f t="shared" si="5"/>
        <v>0.41506376229987202</v>
      </c>
      <c r="AK34" s="123">
        <f t="shared" si="5"/>
        <v>3.7188451490433469E-2</v>
      </c>
      <c r="AL34" s="123">
        <f t="shared" si="5"/>
        <v>14.029195698075119</v>
      </c>
      <c r="AM34" s="123">
        <f t="shared" si="5"/>
        <v>1.1976656629623285E-2</v>
      </c>
      <c r="AN34" s="123">
        <f t="shared" si="5"/>
        <v>0</v>
      </c>
    </row>
    <row r="35" spans="1:40" s="137" customFormat="1" x14ac:dyDescent="0.25">
      <c r="A35" s="132" t="s">
        <v>192</v>
      </c>
      <c r="B35" s="138">
        <v>3</v>
      </c>
      <c r="C35" s="123">
        <f t="shared" ref="C35:R39" si="6">C25/1000</f>
        <v>1.5453021098962838</v>
      </c>
      <c r="D35" s="123">
        <f t="shared" si="6"/>
        <v>0.79305971449405144</v>
      </c>
      <c r="E35" s="123">
        <f t="shared" si="6"/>
        <v>1.8005778655286564</v>
      </c>
      <c r="F35" s="123">
        <f t="shared" si="6"/>
        <v>2.2560148191905758</v>
      </c>
      <c r="G35" s="123">
        <f t="shared" si="6"/>
        <v>10.532527252642954</v>
      </c>
      <c r="H35" s="123">
        <f t="shared" si="6"/>
        <v>2.2947553215676804</v>
      </c>
      <c r="I35" s="123">
        <f t="shared" si="6"/>
        <v>6.4758742140364173E-2</v>
      </c>
      <c r="J35" s="123">
        <f t="shared" si="6"/>
        <v>0.68533247447746359</v>
      </c>
      <c r="K35" s="140">
        <f t="shared" si="6"/>
        <v>296.16576847369009</v>
      </c>
      <c r="L35" s="123">
        <f t="shared" si="6"/>
        <v>5.6697377200752179E-2</v>
      </c>
      <c r="M35" s="123">
        <f t="shared" si="6"/>
        <v>0.4451329059090478</v>
      </c>
      <c r="N35" s="123">
        <f t="shared" si="6"/>
        <v>5.7082670976143417</v>
      </c>
      <c r="O35" s="123">
        <f t="shared" si="6"/>
        <v>20.017927782692585</v>
      </c>
      <c r="P35" s="123">
        <f t="shared" si="6"/>
        <v>2.1655803560136886</v>
      </c>
      <c r="Q35" s="123">
        <f t="shared" si="6"/>
        <v>8.915487342456208</v>
      </c>
      <c r="R35" s="123">
        <f t="shared" si="6"/>
        <v>2.067963017683184</v>
      </c>
      <c r="S35" s="123">
        <f t="shared" si="4"/>
        <v>0.44738962345977507</v>
      </c>
      <c r="T35" s="123">
        <f t="shared" si="4"/>
        <v>2.3804872767549519</v>
      </c>
      <c r="U35" s="123">
        <f t="shared" si="4"/>
        <v>0.29262061888853041</v>
      </c>
      <c r="V35" s="123">
        <f t="shared" si="4"/>
        <v>1.9458272013370159</v>
      </c>
      <c r="W35" s="123">
        <f t="shared" si="4"/>
        <v>0.40382677068412653</v>
      </c>
      <c r="X35" s="123">
        <f t="shared" si="4"/>
        <v>1.1717394985059273</v>
      </c>
      <c r="Y35" s="123">
        <f t="shared" si="4"/>
        <v>0.15924134352486374</v>
      </c>
      <c r="Z35" s="123">
        <f t="shared" si="4"/>
        <v>0.97643105654940887</v>
      </c>
      <c r="AA35" s="123">
        <f t="shared" si="4"/>
        <v>0.14271215545609001</v>
      </c>
      <c r="AB35" s="123">
        <f t="shared" si="4"/>
        <v>0.10757050443778637</v>
      </c>
      <c r="AC35" s="123">
        <f t="shared" si="4"/>
        <v>1.1040851505671993E-2</v>
      </c>
      <c r="AD35" s="123">
        <f t="shared" si="4"/>
        <v>5.1339047034908991E-2</v>
      </c>
      <c r="AE35" s="123">
        <f t="shared" si="4"/>
        <v>0.64718348142228299</v>
      </c>
      <c r="AF35" s="123">
        <f t="shared" si="4"/>
        <v>1.5528030142092972</v>
      </c>
      <c r="AG35" s="123">
        <f t="shared" si="4"/>
        <v>0.84966627415747631</v>
      </c>
      <c r="AH35" s="123">
        <f t="shared" ref="AH35:AN35" si="7">AH25/1000</f>
        <v>0</v>
      </c>
      <c r="AI35" s="123">
        <f t="shared" si="7"/>
        <v>4.7931166049123758E-2</v>
      </c>
      <c r="AJ35" s="123">
        <f t="shared" si="7"/>
        <v>0.5488692498968496</v>
      </c>
      <c r="AK35" s="123">
        <f t="shared" si="7"/>
        <v>0</v>
      </c>
      <c r="AL35" s="123">
        <f t="shared" si="7"/>
        <v>11.898597037158734</v>
      </c>
      <c r="AM35" s="123">
        <f t="shared" si="7"/>
        <v>0</v>
      </c>
      <c r="AN35" s="123">
        <f t="shared" si="7"/>
        <v>0</v>
      </c>
    </row>
    <row r="36" spans="1:40" x14ac:dyDescent="0.25">
      <c r="A36" s="132" t="s">
        <v>193</v>
      </c>
      <c r="B36" s="138">
        <v>3</v>
      </c>
      <c r="C36" s="123">
        <f t="shared" si="6"/>
        <v>1.6292897412420606</v>
      </c>
      <c r="D36" s="123">
        <f t="shared" si="4"/>
        <v>0.94218445212141799</v>
      </c>
      <c r="E36" s="123">
        <f t="shared" si="4"/>
        <v>1.9579286343554705</v>
      </c>
      <c r="F36" s="123">
        <f t="shared" si="4"/>
        <v>2.7176295305166702</v>
      </c>
      <c r="G36" s="123">
        <f t="shared" si="4"/>
        <v>10.827457570750314</v>
      </c>
      <c r="H36" s="123">
        <f t="shared" si="4"/>
        <v>2.509715979055513</v>
      </c>
      <c r="I36" s="123">
        <f t="shared" si="4"/>
        <v>6.0626714953349904E-2</v>
      </c>
      <c r="J36" s="123">
        <f t="shared" si="4"/>
        <v>0.62027798812190549</v>
      </c>
      <c r="K36" s="140">
        <f t="shared" si="4"/>
        <v>360.7326164825277</v>
      </c>
      <c r="L36" s="123">
        <f t="shared" si="4"/>
        <v>4.4781521849302612E-2</v>
      </c>
      <c r="M36" s="123">
        <f t="shared" si="4"/>
        <v>0.47147864210458151</v>
      </c>
      <c r="N36" s="123">
        <f t="shared" si="4"/>
        <v>5.7352903868914042</v>
      </c>
      <c r="O36" s="123">
        <f t="shared" si="4"/>
        <v>20.333966960644261</v>
      </c>
      <c r="P36" s="123">
        <f t="shared" si="4"/>
        <v>2.2298617925467985</v>
      </c>
      <c r="Q36" s="123">
        <f t="shared" si="4"/>
        <v>9.2523717201086058</v>
      </c>
      <c r="R36" s="123">
        <f t="shared" si="4"/>
        <v>2.1576126623688561</v>
      </c>
      <c r="S36" s="123">
        <f t="shared" si="4"/>
        <v>0.47268595512543349</v>
      </c>
      <c r="T36" s="123">
        <f t="shared" si="4"/>
        <v>2.4615898941510803</v>
      </c>
      <c r="U36" s="123">
        <f t="shared" si="4"/>
        <v>0.31160553587676848</v>
      </c>
      <c r="V36" s="123">
        <f t="shared" si="4"/>
        <v>2.0270810305924525</v>
      </c>
      <c r="W36" s="123">
        <f t="shared" si="4"/>
        <v>0.42100117747404892</v>
      </c>
      <c r="X36" s="123">
        <f t="shared" si="4"/>
        <v>1.2124529084562115</v>
      </c>
      <c r="Y36" s="123">
        <f t="shared" si="4"/>
        <v>0.16579726673645623</v>
      </c>
      <c r="Z36" s="123">
        <f t="shared" si="4"/>
        <v>1.0064000351341678</v>
      </c>
      <c r="AA36" s="123">
        <f t="shared" si="4"/>
        <v>0.14718631180974817</v>
      </c>
      <c r="AB36" s="123">
        <f t="shared" si="4"/>
        <v>0.1170395947240632</v>
      </c>
      <c r="AC36" s="123">
        <f t="shared" si="4"/>
        <v>9.9333006953253328E-3</v>
      </c>
      <c r="AD36" s="123">
        <f t="shared" si="4"/>
        <v>4.9643895961236618E-2</v>
      </c>
      <c r="AE36" s="123">
        <f t="shared" si="4"/>
        <v>0.50357791920882167</v>
      </c>
      <c r="AF36" s="123">
        <f t="shared" si="4"/>
        <v>1.6694322999349185</v>
      </c>
      <c r="AG36" s="123">
        <f t="shared" si="4"/>
        <v>0.9569231843219842</v>
      </c>
      <c r="AH36" s="123">
        <f t="shared" ref="AH36:AN36" si="8">AH26/1000</f>
        <v>0</v>
      </c>
      <c r="AI36" s="123">
        <f t="shared" si="8"/>
        <v>8.3518815894247839E-2</v>
      </c>
      <c r="AJ36" s="123">
        <f t="shared" si="8"/>
        <v>0.77994414922330901</v>
      </c>
      <c r="AK36" s="123">
        <f t="shared" si="8"/>
        <v>0</v>
      </c>
      <c r="AL36" s="123">
        <f t="shared" si="8"/>
        <v>8.9967357104652503</v>
      </c>
      <c r="AM36" s="123">
        <f t="shared" si="8"/>
        <v>0</v>
      </c>
      <c r="AN36" s="123">
        <f t="shared" si="8"/>
        <v>0</v>
      </c>
    </row>
    <row r="37" spans="1:40" x14ac:dyDescent="0.25">
      <c r="A37" s="132" t="s">
        <v>194</v>
      </c>
      <c r="B37" s="138">
        <v>3</v>
      </c>
      <c r="C37" s="123">
        <f t="shared" si="6"/>
        <v>1.6580717234723272</v>
      </c>
      <c r="D37" s="123">
        <f t="shared" si="4"/>
        <v>0.92495343036307742</v>
      </c>
      <c r="E37" s="123">
        <f t="shared" si="4"/>
        <v>2.0314651433767623</v>
      </c>
      <c r="F37" s="123">
        <f t="shared" si="4"/>
        <v>2.7952682773075925</v>
      </c>
      <c r="G37" s="123">
        <f t="shared" si="4"/>
        <v>10.7682109906048</v>
      </c>
      <c r="H37" s="123">
        <f t="shared" si="4"/>
        <v>2.5983122211259109</v>
      </c>
      <c r="I37" s="123">
        <f t="shared" si="4"/>
        <v>6.4441636417163162E-2</v>
      </c>
      <c r="J37" s="123">
        <f t="shared" si="4"/>
        <v>0.61520540808082957</v>
      </c>
      <c r="K37" s="140">
        <f t="shared" si="4"/>
        <v>246.33426337980529</v>
      </c>
      <c r="L37" s="123">
        <f t="shared" si="4"/>
        <v>4.339658483056439E-2</v>
      </c>
      <c r="M37" s="123">
        <f t="shared" si="4"/>
        <v>0.47450377525399362</v>
      </c>
      <c r="N37" s="123">
        <f t="shared" si="4"/>
        <v>5.4722879166757474</v>
      </c>
      <c r="O37" s="123">
        <f t="shared" si="4"/>
        <v>19.782927230455428</v>
      </c>
      <c r="P37" s="123">
        <f t="shared" si="4"/>
        <v>2.1812477613829819</v>
      </c>
      <c r="Q37" s="123">
        <f t="shared" si="4"/>
        <v>9.1344237438943559</v>
      </c>
      <c r="R37" s="123">
        <f t="shared" si="4"/>
        <v>2.1256676344303655</v>
      </c>
      <c r="S37" s="123">
        <f t="shared" si="4"/>
        <v>0.47540114348543921</v>
      </c>
      <c r="T37" s="123">
        <f t="shared" si="4"/>
        <v>2.4360981232840619</v>
      </c>
      <c r="U37" s="123">
        <f t="shared" si="4"/>
        <v>0.30534638022561289</v>
      </c>
      <c r="V37" s="123">
        <f t="shared" si="4"/>
        <v>2.0354083519656672</v>
      </c>
      <c r="W37" s="123">
        <f t="shared" si="4"/>
        <v>0.42100567311913711</v>
      </c>
      <c r="X37" s="123">
        <f t="shared" si="4"/>
        <v>1.227776020116951</v>
      </c>
      <c r="Y37" s="123">
        <f t="shared" si="4"/>
        <v>0.1664340154966252</v>
      </c>
      <c r="Z37" s="123">
        <f t="shared" si="4"/>
        <v>1.0137235266406475</v>
      </c>
      <c r="AA37" s="123">
        <f t="shared" si="4"/>
        <v>0.14811950665513959</v>
      </c>
      <c r="AB37" s="123">
        <f t="shared" si="4"/>
        <v>0.12288095347055719</v>
      </c>
      <c r="AC37" s="123">
        <f t="shared" si="4"/>
        <v>9.0842858438209169E-3</v>
      </c>
      <c r="AD37" s="123">
        <f t="shared" si="4"/>
        <v>4.0817751109349536E-2</v>
      </c>
      <c r="AE37" s="123">
        <f t="shared" si="4"/>
        <v>0.55082142741905349</v>
      </c>
      <c r="AF37" s="123">
        <f t="shared" si="4"/>
        <v>1.6821248960172162</v>
      </c>
      <c r="AG37" s="123">
        <f t="shared" si="4"/>
        <v>0.99378979208896634</v>
      </c>
      <c r="AH37" s="123">
        <f t="shared" ref="AH37:AN37" si="9">AH27/1000</f>
        <v>0</v>
      </c>
      <c r="AI37" s="123">
        <f t="shared" si="9"/>
        <v>9.2016450829865787E-2</v>
      </c>
      <c r="AJ37" s="123">
        <f t="shared" si="9"/>
        <v>0.83781837786713997</v>
      </c>
      <c r="AK37" s="123">
        <f t="shared" si="9"/>
        <v>0</v>
      </c>
      <c r="AL37" s="123">
        <f t="shared" si="9"/>
        <v>2.5106951090612721</v>
      </c>
      <c r="AM37" s="123">
        <f t="shared" si="9"/>
        <v>0</v>
      </c>
      <c r="AN37" s="123">
        <f t="shared" si="9"/>
        <v>0</v>
      </c>
    </row>
    <row r="38" spans="1:40" x14ac:dyDescent="0.25">
      <c r="A38" s="132" t="s">
        <v>195</v>
      </c>
      <c r="B38" s="138">
        <v>3</v>
      </c>
      <c r="C38" s="123">
        <f t="shared" si="6"/>
        <v>1.5436935822800109</v>
      </c>
      <c r="D38" s="123">
        <f t="shared" si="4"/>
        <v>0.76412348590165302</v>
      </c>
      <c r="E38" s="123">
        <f t="shared" si="4"/>
        <v>1.9206803139437372</v>
      </c>
      <c r="F38" s="123">
        <f t="shared" si="4"/>
        <v>2.2712659225224137</v>
      </c>
      <c r="G38" s="123">
        <f t="shared" si="4"/>
        <v>10.527495538983004</v>
      </c>
      <c r="H38" s="123">
        <f t="shared" si="4"/>
        <v>2.4385981584407053</v>
      </c>
      <c r="I38" s="123">
        <f t="shared" si="4"/>
        <v>6.5676890059527412E-2</v>
      </c>
      <c r="J38" s="123">
        <f t="shared" si="4"/>
        <v>0.57015816867293245</v>
      </c>
      <c r="K38" s="140">
        <f t="shared" si="4"/>
        <v>657.73585535477935</v>
      </c>
      <c r="L38" s="123">
        <f t="shared" si="4"/>
        <v>3.9882077799018187E-2</v>
      </c>
      <c r="M38" s="123">
        <f t="shared" si="4"/>
        <v>0.4233774395532357</v>
      </c>
      <c r="N38" s="123">
        <f t="shared" si="4"/>
        <v>5.4071818596912156</v>
      </c>
      <c r="O38" s="123">
        <f t="shared" si="4"/>
        <v>19.637973888245789</v>
      </c>
      <c r="P38" s="123">
        <f t="shared" si="4"/>
        <v>2.1224425618454053</v>
      </c>
      <c r="Q38" s="123">
        <f t="shared" si="4"/>
        <v>8.8415835754275687</v>
      </c>
      <c r="R38" s="123">
        <f t="shared" si="4"/>
        <v>2.0493981171739484</v>
      </c>
      <c r="S38" s="123">
        <f t="shared" si="4"/>
        <v>0.44813821496557649</v>
      </c>
      <c r="T38" s="123">
        <f t="shared" si="4"/>
        <v>2.359397685635626</v>
      </c>
      <c r="U38" s="123">
        <f t="shared" si="4"/>
        <v>0.2974354191091394</v>
      </c>
      <c r="V38" s="123">
        <f t="shared" si="4"/>
        <v>1.9916040499384773</v>
      </c>
      <c r="W38" s="123">
        <f t="shared" si="4"/>
        <v>0.41194087083181757</v>
      </c>
      <c r="X38" s="123">
        <f t="shared" si="4"/>
        <v>1.1881043878966571</v>
      </c>
      <c r="Y38" s="123">
        <f t="shared" si="4"/>
        <v>0.16297372510688268</v>
      </c>
      <c r="Z38" s="123">
        <f t="shared" si="4"/>
        <v>0.99753667959211811</v>
      </c>
      <c r="AA38" s="123">
        <f t="shared" si="4"/>
        <v>0.14365606874943851</v>
      </c>
      <c r="AB38" s="123">
        <f t="shared" si="4"/>
        <v>0.11720744495978885</v>
      </c>
      <c r="AC38" s="123">
        <f t="shared" si="4"/>
        <v>8.7823516719670626E-3</v>
      </c>
      <c r="AD38" s="123">
        <f t="shared" si="4"/>
        <v>4.2160964539308669E-2</v>
      </c>
      <c r="AE38" s="123">
        <f t="shared" si="4"/>
        <v>0.54102548382243854</v>
      </c>
      <c r="AF38" s="123">
        <f t="shared" si="4"/>
        <v>1.6733216312322592</v>
      </c>
      <c r="AG38" s="123">
        <f t="shared" si="4"/>
        <v>0.95089963766795516</v>
      </c>
      <c r="AH38" s="123">
        <f t="shared" ref="AH38:AN38" si="10">AH28/1000</f>
        <v>0</v>
      </c>
      <c r="AI38" s="123">
        <f t="shared" si="10"/>
        <v>9.3706289400159071E-2</v>
      </c>
      <c r="AJ38" s="123">
        <f t="shared" si="10"/>
        <v>0.84732905749169307</v>
      </c>
      <c r="AK38" s="123">
        <f t="shared" si="10"/>
        <v>0</v>
      </c>
      <c r="AL38" s="123">
        <f t="shared" si="10"/>
        <v>4.3636818085260645</v>
      </c>
      <c r="AM38" s="123">
        <f t="shared" si="10"/>
        <v>0</v>
      </c>
      <c r="AN38" s="123">
        <f t="shared" si="10"/>
        <v>0</v>
      </c>
    </row>
    <row r="39" spans="1:40" x14ac:dyDescent="0.25">
      <c r="A39" s="132" t="s">
        <v>196</v>
      </c>
      <c r="B39" s="138">
        <v>3</v>
      </c>
      <c r="C39" s="123">
        <f t="shared" si="6"/>
        <v>1.5169691856708978</v>
      </c>
      <c r="D39" s="123">
        <f t="shared" si="4"/>
        <v>0.71608456182373326</v>
      </c>
      <c r="E39" s="123">
        <f t="shared" si="4"/>
        <v>1.8047005140329355</v>
      </c>
      <c r="F39" s="123">
        <f t="shared" si="4"/>
        <v>2.0210761769864631</v>
      </c>
      <c r="G39" s="123">
        <f t="shared" si="4"/>
        <v>10.593642428553489</v>
      </c>
      <c r="H39" s="123">
        <f t="shared" si="4"/>
        <v>2.3692533558858258</v>
      </c>
      <c r="I39" s="123">
        <f t="shared" si="4"/>
        <v>6.9520223490846952E-2</v>
      </c>
      <c r="J39" s="123">
        <f t="shared" si="4"/>
        <v>0.57113168543223314</v>
      </c>
      <c r="K39" s="140">
        <f t="shared" si="4"/>
        <v>827.95755403539863</v>
      </c>
      <c r="L39" s="123">
        <f t="shared" si="4"/>
        <v>4.1073308031349759E-2</v>
      </c>
      <c r="M39" s="123">
        <f t="shared" si="4"/>
        <v>0.39815597935323449</v>
      </c>
      <c r="N39" s="123">
        <f t="shared" si="4"/>
        <v>5.4850374996374986</v>
      </c>
      <c r="O39" s="123">
        <f t="shared" si="4"/>
        <v>19.683854224216017</v>
      </c>
      <c r="P39" s="123">
        <f t="shared" si="4"/>
        <v>2.0940723011689957</v>
      </c>
      <c r="Q39" s="123">
        <f t="shared" si="4"/>
        <v>8.6724033141542183</v>
      </c>
      <c r="R39" s="123">
        <f t="shared" si="4"/>
        <v>2.0288482582756338</v>
      </c>
      <c r="S39" s="123">
        <f t="shared" si="4"/>
        <v>0.42632278605281754</v>
      </c>
      <c r="T39" s="123">
        <f t="shared" si="4"/>
        <v>2.3447693810007015</v>
      </c>
      <c r="U39" s="123">
        <f t="shared" si="4"/>
        <v>0.29829857288355838</v>
      </c>
      <c r="V39" s="123">
        <f t="shared" si="4"/>
        <v>2.0043458264032896</v>
      </c>
      <c r="W39" s="123">
        <f t="shared" si="4"/>
        <v>0.41528825617809667</v>
      </c>
      <c r="X39" s="123">
        <f t="shared" si="4"/>
        <v>1.2132900077451279</v>
      </c>
      <c r="Y39" s="123">
        <f t="shared" si="4"/>
        <v>0.16782612626380536</v>
      </c>
      <c r="Z39" s="123">
        <f t="shared" si="4"/>
        <v>1.0213076529925937</v>
      </c>
      <c r="AA39" s="123">
        <f t="shared" si="4"/>
        <v>0.14818785926032188</v>
      </c>
      <c r="AB39" s="123">
        <f t="shared" si="4"/>
        <v>0.11546373023909542</v>
      </c>
      <c r="AC39" s="123">
        <f t="shared" si="4"/>
        <v>1.0422747316808164E-2</v>
      </c>
      <c r="AD39" s="123">
        <f t="shared" si="4"/>
        <v>4.9400100107665518E-2</v>
      </c>
      <c r="AE39" s="123">
        <f t="shared" si="4"/>
        <v>0.45466867417691192</v>
      </c>
      <c r="AF39" s="123">
        <f t="shared" si="4"/>
        <v>1.6671407100317981</v>
      </c>
      <c r="AG39" s="123">
        <f t="shared" si="4"/>
        <v>0.88014713719645166</v>
      </c>
      <c r="AH39" s="123">
        <f t="shared" ref="AH39:AN39" si="11">AH29/1000</f>
        <v>0</v>
      </c>
      <c r="AI39" s="123">
        <f t="shared" si="11"/>
        <v>9.5442308963284761E-2</v>
      </c>
      <c r="AJ39" s="123">
        <f t="shared" si="11"/>
        <v>0.8545132272698347</v>
      </c>
      <c r="AK39" s="123">
        <f t="shared" si="11"/>
        <v>6.0586660716206428E-2</v>
      </c>
      <c r="AL39" s="123">
        <f t="shared" si="11"/>
        <v>5.6759452612189492</v>
      </c>
      <c r="AM39" s="123">
        <f t="shared" si="11"/>
        <v>0</v>
      </c>
      <c r="AN39" s="123">
        <f t="shared" si="11"/>
        <v>0</v>
      </c>
    </row>
  </sheetData>
  <mergeCells count="2">
    <mergeCell ref="A20:A21"/>
    <mergeCell ref="B20:B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6"/>
  <sheetViews>
    <sheetView workbookViewId="0">
      <pane ySplit="10" topLeftCell="A11" activePane="bottomLeft" state="frozenSplit"/>
      <selection activeCell="A4" sqref="A4:XFD4"/>
      <selection pane="bottomLeft" activeCell="A45" sqref="A45:XFD45"/>
    </sheetView>
  </sheetViews>
  <sheetFormatPr defaultRowHeight="15" x14ac:dyDescent="0.25"/>
  <cols>
    <col min="1" max="1" width="109" customWidth="1"/>
    <col min="2" max="2" width="13.28515625" customWidth="1"/>
  </cols>
  <sheetData>
    <row r="1" spans="1:12" s="38" customFormat="1" ht="21.75" thickBot="1" x14ac:dyDescent="0.3">
      <c r="A1" s="37" t="str">
        <f>'Raw ICP-OES Data'!A1</f>
        <v xml:space="preserve"> Inductively Coupled Plasma-Optical Emission Spectrometer (ICP-AES) Samples Review</v>
      </c>
    </row>
    <row r="2" spans="1:12" s="2" customFormat="1" ht="3.75" customHeight="1" x14ac:dyDescent="0.25">
      <c r="A2" s="1"/>
    </row>
    <row r="3" spans="1:12" s="2" customFormat="1" x14ac:dyDescent="0.25">
      <c r="A3" s="3" t="str">
        <f>'Raw ICP-OES Data'!A3</f>
        <v>Sequence Name: Valmont Fly Ash</v>
      </c>
    </row>
    <row r="4" spans="1:12" s="2" customFormat="1" x14ac:dyDescent="0.25">
      <c r="A4" s="3" t="str">
        <f>'Raw ICP-OES Data'!A4</f>
        <v>Digested By: Trevor Henry on 8/29/2024  electronic Lab book K-LRTD-NB-2993| Analyzed By: Mahendranath Arambewela. The final volume of the digestion was 50 mL.</v>
      </c>
    </row>
    <row r="5" spans="1:12" s="2" customFormat="1" x14ac:dyDescent="0.25">
      <c r="A5" s="3" t="str">
        <f>'Raw ICP-OES Data'!A5</f>
        <v>Chain of Custody:  Not Received</v>
      </c>
    </row>
    <row r="6" spans="1:12" s="2" customFormat="1" x14ac:dyDescent="0.25">
      <c r="A6" s="3" t="str">
        <f>'Raw ICP-OES Data'!A6</f>
        <v>Sample Preparation: Total metal samples were acid digested per SOP K-LRTD-SOP-1193-0 (based on  EPA Method 3051)</v>
      </c>
    </row>
    <row r="7" spans="1:12" s="2" customFormat="1" x14ac:dyDescent="0.25">
      <c r="A7" s="3" t="str">
        <f>'Raw ICP-OES Data'!A7</f>
        <v>Instrument: Inductively coupled plasma-optical emission spectrometer (ICP-OES) Agilent 5900</v>
      </c>
    </row>
    <row r="8" spans="1:12" s="2" customFormat="1" x14ac:dyDescent="0.25">
      <c r="A8" s="3" t="str">
        <f>'Raw ICP-OES Data'!A8</f>
        <v>Electronic data found at: L:\Priv\CtrHill\CSSB Applied Research\Spring River Watershed\Data Reports with QA</v>
      </c>
    </row>
    <row r="9" spans="1:12" s="2" customFormat="1" x14ac:dyDescent="0.25">
      <c r="A9" s="3" t="str">
        <f>'Raw ICP-OES Data'!A9</f>
        <v>Analytical Method: ICP analysis per SOP K-LRTD-SOP-1185-1 (based on EPA Method 6010B)</v>
      </c>
    </row>
    <row r="10" spans="1:12" s="2" customFormat="1" ht="3.75" customHeight="1" x14ac:dyDescent="0.25">
      <c r="A10" s="4"/>
    </row>
    <row r="11" spans="1:12" x14ac:dyDescent="0.25">
      <c r="A11" s="117" t="s">
        <v>103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</row>
    <row r="12" spans="1:12" ht="25.5" customHeight="1" x14ac:dyDescent="0.25">
      <c r="A12" s="150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</row>
    <row r="13" spans="1:12" x14ac:dyDescent="0.25">
      <c r="A13" s="119"/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12" x14ac:dyDescent="0.25">
      <c r="A14" s="121" t="s">
        <v>53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</row>
    <row r="15" spans="1:12" ht="14.65" customHeight="1" x14ac:dyDescent="0.25">
      <c r="A15" s="150"/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</row>
    <row r="16" spans="1:12" x14ac:dyDescent="0.25">
      <c r="A16" s="119"/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</row>
    <row r="17" spans="1:12" x14ac:dyDescent="0.25">
      <c r="A17" s="117" t="s">
        <v>54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</row>
    <row r="18" spans="1:12" ht="14.65" customHeight="1" x14ac:dyDescent="0.25">
      <c r="A18" s="150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</row>
    <row r="19" spans="1:12" ht="18.399999999999999" customHeight="1" x14ac:dyDescent="0.25">
      <c r="A19" s="119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</row>
    <row r="20" spans="1:12" s="28" customFormat="1" ht="18" customHeight="1" x14ac:dyDescent="0.25">
      <c r="A20" s="117" t="s">
        <v>55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</row>
    <row r="21" spans="1:12" ht="25.15" customHeight="1" x14ac:dyDescent="0.25">
      <c r="A21" s="150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</row>
    <row r="22" spans="1:12" ht="34.5" customHeight="1" x14ac:dyDescent="0.25">
      <c r="A22" s="119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</row>
    <row r="23" spans="1:12" x14ac:dyDescent="0.25">
      <c r="A23" s="117" t="s">
        <v>56</v>
      </c>
      <c r="B23" s="120"/>
      <c r="C23" s="118"/>
      <c r="D23" s="118"/>
      <c r="E23" s="118"/>
      <c r="F23" s="118"/>
      <c r="G23" s="118"/>
      <c r="H23" s="118"/>
      <c r="I23" s="118"/>
      <c r="J23" s="118"/>
      <c r="K23" s="118"/>
      <c r="L23" s="118"/>
    </row>
    <row r="24" spans="1:12" ht="14.65" customHeight="1" x14ac:dyDescent="0.25">
      <c r="A24" s="150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</row>
    <row r="25" spans="1:12" x14ac:dyDescent="0.25">
      <c r="A25" s="119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</row>
    <row r="26" spans="1:12" x14ac:dyDescent="0.25">
      <c r="A26" s="117" t="s">
        <v>57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</row>
    <row r="27" spans="1:12" ht="14.65" customHeight="1" x14ac:dyDescent="0.25">
      <c r="A27" s="150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</row>
    <row r="28" spans="1:12" x14ac:dyDescent="0.25">
      <c r="A28" s="119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</row>
    <row r="29" spans="1:12" x14ac:dyDescent="0.25">
      <c r="A29" s="117" t="s">
        <v>58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</row>
    <row r="30" spans="1:12" ht="14.65" customHeight="1" x14ac:dyDescent="0.25">
      <c r="A30" s="150"/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</row>
    <row r="31" spans="1:12" x14ac:dyDescent="0.25">
      <c r="A31" s="119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</row>
    <row r="32" spans="1:12" x14ac:dyDescent="0.25">
      <c r="A32" s="117" t="s">
        <v>59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</row>
    <row r="33" spans="1:12" x14ac:dyDescent="0.25">
      <c r="A33" s="122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</row>
    <row r="34" spans="1:12" x14ac:dyDescent="0.25">
      <c r="A34" s="117"/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</row>
    <row r="35" spans="1:12" x14ac:dyDescent="0.25">
      <c r="A35" s="117" t="s">
        <v>60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</row>
    <row r="36" spans="1:12" x14ac:dyDescent="0.25">
      <c r="A36" s="150"/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</row>
    <row r="37" spans="1:12" x14ac:dyDescent="0.25">
      <c r="A37" s="119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</row>
    <row r="38" spans="1:12" x14ac:dyDescent="0.25">
      <c r="A38" s="117" t="s">
        <v>61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</row>
    <row r="39" spans="1:12" x14ac:dyDescent="0.25">
      <c r="A39" s="150"/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</row>
    <row r="40" spans="1:12" x14ac:dyDescent="0.25">
      <c r="A40" s="119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</row>
    <row r="41" spans="1:12" x14ac:dyDescent="0.25">
      <c r="A41" s="117" t="s">
        <v>62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</row>
    <row r="42" spans="1:12" x14ac:dyDescent="0.25">
      <c r="A42" s="150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</row>
    <row r="43" spans="1:12" x14ac:dyDescent="0.25">
      <c r="A43" s="118"/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</row>
    <row r="44" spans="1:12" x14ac:dyDescent="0.25">
      <c r="A44" s="117" t="s">
        <v>104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</row>
    <row r="45" spans="1:12" x14ac:dyDescent="0.25">
      <c r="A45" s="118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</row>
    <row r="46" spans="1:12" x14ac:dyDescent="0.25">
      <c r="A46" s="149"/>
      <c r="B46" s="149"/>
      <c r="C46" s="149"/>
      <c r="D46" s="149"/>
    </row>
  </sheetData>
  <mergeCells count="11">
    <mergeCell ref="A27:L27"/>
    <mergeCell ref="A12:L12"/>
    <mergeCell ref="A15:L15"/>
    <mergeCell ref="A18:L18"/>
    <mergeCell ref="A21:L21"/>
    <mergeCell ref="A24:L24"/>
    <mergeCell ref="A46:D46"/>
    <mergeCell ref="A30:L30"/>
    <mergeCell ref="A36:L36"/>
    <mergeCell ref="A39:L39"/>
    <mergeCell ref="A42:L4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Samples Log</vt:lpstr>
      <vt:lpstr>Raw ICP-OES Data</vt:lpstr>
      <vt:lpstr>ICP-OES Total Metals</vt:lpstr>
      <vt:lpstr>ICP-OES TM Averages</vt:lpstr>
      <vt:lpstr>RAW ICP-MS Data</vt:lpstr>
      <vt:lpstr>ICP-MS Total Metals</vt:lpstr>
      <vt:lpstr>ICP-MS Averages</vt:lpstr>
      <vt:lpstr>Case Narrative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Baumann, Eric</dc:creator>
  <cp:keywords/>
  <dc:description/>
  <cp:lastModifiedBy>Shields, Dylan (he/him/his)</cp:lastModifiedBy>
  <cp:revision/>
  <dcterms:created xsi:type="dcterms:W3CDTF">2016-04-18T19:18:02Z</dcterms:created>
  <dcterms:modified xsi:type="dcterms:W3CDTF">2024-09-16T18:06:38Z</dcterms:modified>
  <cp:category/>
  <cp:contentStatus/>
</cp:coreProperties>
</file>